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yw\Downloads\"/>
    </mc:Choice>
  </mc:AlternateContent>
  <workbookProtection workbookAlgorithmName="SHA-512" workbookHashValue="i6VC8JD26gzBc6qOwVrVBxa9ulImFf9c7AQJrUZY2kikv/elFvAHTJSCp04FSacsjGmb2c4azUb8ss5xsL+Qvg==" workbookSaltValue="1I2hVotVH+ZvtKiUVvhr3Q==" workbookSpinCount="100000" lockStructure="1"/>
  <bookViews>
    <workbookView xWindow="0" yWindow="0" windowWidth="28230" windowHeight="11220" tabRatio="445"/>
  </bookViews>
  <sheets>
    <sheet name="Runoff Calculator" sheetId="5" r:id="rId1"/>
    <sheet name="Rainfall Data" sheetId="4" state="hidden" r:id="rId2"/>
  </sheets>
  <externalReferences>
    <externalReference r:id="rId3"/>
  </externalReferences>
  <definedNames>
    <definedName name="_2000LCricular">[1]Tanks!$A$86</definedName>
    <definedName name="_2000LRec">[1]Tanks!$A$87:$A$89</definedName>
    <definedName name="_3000L_Cri">[1]Tanks!$B$86</definedName>
    <definedName name="_3000LRec">[1]Tanks!$B$87:$B$90</definedName>
    <definedName name="_4000LCri">[1]Tanks!$C$86</definedName>
    <definedName name="_4000LRec">[1]Tanks!$C$87:$C$88</definedName>
    <definedName name="_5000LCir">[1]Tanks!$D$86</definedName>
    <definedName name="_5000LRec">[1]Tanks!$D$87:$D$90</definedName>
    <definedName name="_xlnm.Print_Area" localSheetId="0">'Runoff Calculator'!$A$1:$G$41</definedName>
    <definedName name="TimaruCurrent">'Rainfall Data'!$M$3:$W$8</definedName>
    <definedName name="TimaruFuture">'Rainfall Data'!$M$12:$W$17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5" l="1"/>
  <c r="E18" i="5" l="1"/>
  <c r="M28" i="5"/>
  <c r="E35" i="5" l="1"/>
  <c r="E34" i="5"/>
  <c r="B30" i="5"/>
  <c r="E21" i="5"/>
  <c r="E20" i="5"/>
  <c r="E19" i="5"/>
  <c r="E24" i="5" l="1"/>
  <c r="E30" i="5"/>
  <c r="B14" i="5"/>
  <c r="B51" i="5"/>
  <c r="G30" i="5"/>
  <c r="G31" i="5"/>
  <c r="G32" i="5"/>
  <c r="G33" i="5"/>
  <c r="B13" i="5"/>
  <c r="F30" i="5" l="1"/>
  <c r="C30" i="5"/>
  <c r="I86" i="5"/>
  <c r="J86" i="5"/>
  <c r="B35" i="5"/>
  <c r="B34" i="5"/>
  <c r="B33" i="5"/>
  <c r="B32" i="5"/>
  <c r="B31" i="5"/>
  <c r="C31" i="5" s="1"/>
  <c r="E33" i="5"/>
  <c r="F33" i="5" s="1"/>
  <c r="E32" i="5"/>
  <c r="F32" i="5" s="1"/>
  <c r="E31" i="5"/>
  <c r="F31" i="5" s="1"/>
  <c r="D50" i="5"/>
  <c r="D51" i="5" s="1"/>
  <c r="B24" i="5"/>
  <c r="B25" i="5" s="1"/>
  <c r="B9" i="5"/>
  <c r="F22" i="5" s="1"/>
  <c r="B36" i="5" l="1"/>
  <c r="E36" i="5"/>
  <c r="G34" i="5"/>
  <c r="G35" i="5" s="1"/>
  <c r="C35" i="5" s="1"/>
  <c r="F23" i="5"/>
  <c r="M24" i="5" s="1"/>
  <c r="C33" i="5"/>
  <c r="C32" i="5"/>
  <c r="M23" i="5" l="1"/>
  <c r="F34" i="5"/>
  <c r="F35" i="5"/>
  <c r="C34" i="5"/>
  <c r="C36" i="5" s="1"/>
  <c r="I63" i="5"/>
  <c r="L57" i="5"/>
  <c r="L56" i="5"/>
  <c r="L48" i="5"/>
  <c r="L47" i="5"/>
  <c r="I47" i="5"/>
  <c r="I48" i="5"/>
  <c r="I49" i="5"/>
  <c r="I56" i="5"/>
  <c r="F36" i="5" l="1"/>
  <c r="I50" i="5"/>
  <c r="B62" i="5"/>
  <c r="B39" i="5" l="1"/>
  <c r="B40" i="5" s="1"/>
  <c r="I57" i="5"/>
  <c r="I59" i="5" l="1"/>
  <c r="N55" i="4"/>
  <c r="B55" i="4"/>
  <c r="C57" i="4"/>
  <c r="D57" i="4"/>
  <c r="E57" i="4"/>
  <c r="F57" i="4"/>
  <c r="G57" i="4"/>
  <c r="H57" i="4"/>
  <c r="I57" i="4"/>
  <c r="J57" i="4"/>
  <c r="K57" i="4"/>
  <c r="C58" i="4"/>
  <c r="D58" i="4"/>
  <c r="E58" i="4"/>
  <c r="F58" i="4"/>
  <c r="G58" i="4"/>
  <c r="H58" i="4"/>
  <c r="I58" i="4"/>
  <c r="J58" i="4"/>
  <c r="K58" i="4"/>
  <c r="C59" i="4"/>
  <c r="D59" i="4"/>
  <c r="E59" i="4"/>
  <c r="F59" i="4"/>
  <c r="G59" i="4"/>
  <c r="H59" i="4"/>
  <c r="I59" i="4"/>
  <c r="J59" i="4"/>
  <c r="K59" i="4"/>
  <c r="C60" i="4"/>
  <c r="D60" i="4"/>
  <c r="E60" i="4"/>
  <c r="F60" i="4"/>
  <c r="G60" i="4"/>
  <c r="H60" i="4"/>
  <c r="I60" i="4"/>
  <c r="J60" i="4"/>
  <c r="K60" i="4"/>
  <c r="C61" i="4"/>
  <c r="D61" i="4"/>
  <c r="E61" i="4"/>
  <c r="F61" i="4"/>
  <c r="G61" i="4"/>
  <c r="H61" i="4"/>
  <c r="I61" i="4"/>
  <c r="J61" i="4"/>
  <c r="K61" i="4"/>
  <c r="C62" i="4"/>
  <c r="D62" i="4"/>
  <c r="E62" i="4"/>
  <c r="F62" i="4"/>
  <c r="G62" i="4"/>
  <c r="H62" i="4"/>
  <c r="I62" i="4"/>
  <c r="J62" i="4"/>
  <c r="K62" i="4"/>
  <c r="B58" i="4"/>
  <c r="B59" i="4"/>
  <c r="B60" i="4"/>
  <c r="B61" i="4"/>
  <c r="B62" i="4"/>
  <c r="B57" i="4"/>
  <c r="N37" i="4"/>
  <c r="B37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C39" i="4"/>
  <c r="D39" i="4"/>
  <c r="E39" i="4"/>
  <c r="F39" i="4"/>
  <c r="G39" i="4"/>
  <c r="H39" i="4"/>
  <c r="I39" i="4"/>
  <c r="J39" i="4"/>
  <c r="K39" i="4"/>
  <c r="B39" i="4"/>
  <c r="N19" i="4"/>
  <c r="B19" i="4"/>
  <c r="C21" i="4"/>
  <c r="D21" i="4"/>
  <c r="E21" i="4"/>
  <c r="F21" i="4"/>
  <c r="G21" i="4"/>
  <c r="H21" i="4"/>
  <c r="I21" i="4"/>
  <c r="J21" i="4"/>
  <c r="K21" i="4"/>
  <c r="C22" i="4"/>
  <c r="D22" i="4"/>
  <c r="E22" i="4"/>
  <c r="F22" i="4"/>
  <c r="G22" i="4"/>
  <c r="H22" i="4"/>
  <c r="I22" i="4"/>
  <c r="J22" i="4"/>
  <c r="K22" i="4"/>
  <c r="C23" i="4"/>
  <c r="D23" i="4"/>
  <c r="E23" i="4"/>
  <c r="F23" i="4"/>
  <c r="G23" i="4"/>
  <c r="H23" i="4"/>
  <c r="I23" i="4"/>
  <c r="J23" i="4"/>
  <c r="K23" i="4"/>
  <c r="C24" i="4"/>
  <c r="D24" i="4"/>
  <c r="E24" i="4"/>
  <c r="F24" i="4"/>
  <c r="G24" i="4"/>
  <c r="H24" i="4"/>
  <c r="I24" i="4"/>
  <c r="J24" i="4"/>
  <c r="K24" i="4"/>
  <c r="C25" i="4"/>
  <c r="D25" i="4"/>
  <c r="E25" i="4"/>
  <c r="F25" i="4"/>
  <c r="G25" i="4"/>
  <c r="H25" i="4"/>
  <c r="I25" i="4"/>
  <c r="J25" i="4"/>
  <c r="K25" i="4"/>
  <c r="C26" i="4"/>
  <c r="D26" i="4"/>
  <c r="E26" i="4"/>
  <c r="F26" i="4"/>
  <c r="G26" i="4"/>
  <c r="H26" i="4"/>
  <c r="I26" i="4"/>
  <c r="J26" i="4"/>
  <c r="K26" i="4"/>
  <c r="B22" i="4"/>
  <c r="B23" i="4"/>
  <c r="B24" i="4"/>
  <c r="B25" i="4"/>
  <c r="B26" i="4"/>
  <c r="B21" i="4"/>
  <c r="B1" i="4"/>
  <c r="C3" i="4"/>
  <c r="D3" i="4"/>
  <c r="E3" i="4"/>
  <c r="F3" i="4"/>
  <c r="G3" i="4"/>
  <c r="H3" i="4"/>
  <c r="I3" i="4"/>
  <c r="J3" i="4"/>
  <c r="K3" i="4"/>
  <c r="C4" i="4"/>
  <c r="D4" i="4"/>
  <c r="E4" i="4"/>
  <c r="F4" i="4"/>
  <c r="G4" i="4"/>
  <c r="H4" i="4"/>
  <c r="I4" i="4"/>
  <c r="J4" i="4"/>
  <c r="K4" i="4"/>
  <c r="C5" i="4"/>
  <c r="D5" i="4"/>
  <c r="E5" i="4"/>
  <c r="F5" i="4"/>
  <c r="G5" i="4"/>
  <c r="H5" i="4"/>
  <c r="I5" i="4"/>
  <c r="J5" i="4"/>
  <c r="K5" i="4"/>
  <c r="C6" i="4"/>
  <c r="D6" i="4"/>
  <c r="E6" i="4"/>
  <c r="F6" i="4"/>
  <c r="G6" i="4"/>
  <c r="H6" i="4"/>
  <c r="I6" i="4"/>
  <c r="J6" i="4"/>
  <c r="K6" i="4"/>
  <c r="C7" i="4"/>
  <c r="D7" i="4"/>
  <c r="E7" i="4"/>
  <c r="F7" i="4"/>
  <c r="G7" i="4"/>
  <c r="H7" i="4"/>
  <c r="I7" i="4"/>
  <c r="J7" i="4"/>
  <c r="K7" i="4"/>
  <c r="C8" i="4"/>
  <c r="D8" i="4"/>
  <c r="E8" i="4"/>
  <c r="F8" i="4"/>
  <c r="G8" i="4"/>
  <c r="H8" i="4"/>
  <c r="I8" i="4"/>
  <c r="J8" i="4"/>
  <c r="K8" i="4"/>
  <c r="B4" i="4"/>
  <c r="B5" i="4"/>
  <c r="B6" i="4"/>
  <c r="B7" i="4"/>
  <c r="B8" i="4"/>
  <c r="B3" i="4"/>
  <c r="B71" i="5" l="1"/>
  <c r="J56" i="5" s="1"/>
  <c r="J57" i="5" l="1"/>
  <c r="W71" i="4"/>
  <c r="V71" i="4"/>
  <c r="U71" i="4"/>
  <c r="T71" i="4"/>
  <c r="S71" i="4"/>
  <c r="R71" i="4"/>
  <c r="Q71" i="4"/>
  <c r="P71" i="4"/>
  <c r="O71" i="4"/>
  <c r="N71" i="4"/>
  <c r="W70" i="4"/>
  <c r="V70" i="4"/>
  <c r="U70" i="4"/>
  <c r="T70" i="4"/>
  <c r="S70" i="4"/>
  <c r="R70" i="4"/>
  <c r="Q70" i="4"/>
  <c r="P70" i="4"/>
  <c r="O70" i="4"/>
  <c r="N70" i="4"/>
  <c r="W69" i="4"/>
  <c r="V69" i="4"/>
  <c r="U69" i="4"/>
  <c r="T69" i="4"/>
  <c r="S69" i="4"/>
  <c r="R69" i="4"/>
  <c r="Q69" i="4"/>
  <c r="P69" i="4"/>
  <c r="O69" i="4"/>
  <c r="N69" i="4"/>
  <c r="W68" i="4"/>
  <c r="V68" i="4"/>
  <c r="U68" i="4"/>
  <c r="T68" i="4"/>
  <c r="S68" i="4"/>
  <c r="R68" i="4"/>
  <c r="Q68" i="4"/>
  <c r="P68" i="4"/>
  <c r="O68" i="4"/>
  <c r="N68" i="4"/>
  <c r="W67" i="4"/>
  <c r="V67" i="4"/>
  <c r="U67" i="4"/>
  <c r="T67" i="4"/>
  <c r="S67" i="4"/>
  <c r="R67" i="4"/>
  <c r="Q67" i="4"/>
  <c r="P67" i="4"/>
  <c r="O67" i="4"/>
  <c r="N67" i="4"/>
  <c r="W66" i="4"/>
  <c r="V66" i="4"/>
  <c r="U66" i="4"/>
  <c r="T66" i="4"/>
  <c r="S66" i="4"/>
  <c r="R66" i="4"/>
  <c r="Q66" i="4"/>
  <c r="P66" i="4"/>
  <c r="O66" i="4"/>
  <c r="N66" i="4"/>
  <c r="W62" i="4"/>
  <c r="V62" i="4"/>
  <c r="U62" i="4"/>
  <c r="T62" i="4"/>
  <c r="S62" i="4"/>
  <c r="R62" i="4"/>
  <c r="Q62" i="4"/>
  <c r="P62" i="4"/>
  <c r="O62" i="4"/>
  <c r="N62" i="4"/>
  <c r="W61" i="4"/>
  <c r="V61" i="4"/>
  <c r="U61" i="4"/>
  <c r="T61" i="4"/>
  <c r="S61" i="4"/>
  <c r="R61" i="4"/>
  <c r="Q61" i="4"/>
  <c r="P61" i="4"/>
  <c r="O61" i="4"/>
  <c r="N61" i="4"/>
  <c r="W60" i="4"/>
  <c r="V60" i="4"/>
  <c r="U60" i="4"/>
  <c r="T60" i="4"/>
  <c r="S60" i="4"/>
  <c r="R60" i="4"/>
  <c r="Q60" i="4"/>
  <c r="P60" i="4"/>
  <c r="O60" i="4"/>
  <c r="N60" i="4"/>
  <c r="W59" i="4"/>
  <c r="V59" i="4"/>
  <c r="U59" i="4"/>
  <c r="T59" i="4"/>
  <c r="S59" i="4"/>
  <c r="R59" i="4"/>
  <c r="Q59" i="4"/>
  <c r="P59" i="4"/>
  <c r="O59" i="4"/>
  <c r="N59" i="4"/>
  <c r="W58" i="4"/>
  <c r="V58" i="4"/>
  <c r="U58" i="4"/>
  <c r="T58" i="4"/>
  <c r="S58" i="4"/>
  <c r="R58" i="4"/>
  <c r="Q58" i="4"/>
  <c r="P58" i="4"/>
  <c r="O58" i="4"/>
  <c r="N58" i="4"/>
  <c r="W57" i="4"/>
  <c r="V57" i="4"/>
  <c r="U57" i="4"/>
  <c r="T57" i="4"/>
  <c r="S57" i="4"/>
  <c r="R57" i="4"/>
  <c r="Q57" i="4"/>
  <c r="P57" i="4"/>
  <c r="O57" i="4"/>
  <c r="N57" i="4"/>
  <c r="D61" i="5" l="1"/>
  <c r="D62" i="5" s="1"/>
  <c r="B57" i="5"/>
  <c r="I58" i="5" l="1"/>
  <c r="B63" i="5" l="1"/>
  <c r="D56" i="5" l="1"/>
  <c r="L49" i="5"/>
  <c r="D57" i="5" l="1"/>
  <c r="L58" i="5"/>
  <c r="J58" i="5" s="1"/>
  <c r="J59" i="5" s="1"/>
  <c r="L63" i="5" l="1"/>
  <c r="W53" i="4"/>
  <c r="V53" i="4"/>
  <c r="U53" i="4"/>
  <c r="T53" i="4"/>
  <c r="S53" i="4"/>
  <c r="R53" i="4"/>
  <c r="Q53" i="4"/>
  <c r="P53" i="4"/>
  <c r="O53" i="4"/>
  <c r="N53" i="4"/>
  <c r="W52" i="4"/>
  <c r="V52" i="4"/>
  <c r="U52" i="4"/>
  <c r="T52" i="4"/>
  <c r="S52" i="4"/>
  <c r="R52" i="4"/>
  <c r="Q52" i="4"/>
  <c r="P52" i="4"/>
  <c r="O52" i="4"/>
  <c r="N52" i="4"/>
  <c r="W51" i="4"/>
  <c r="V51" i="4"/>
  <c r="U51" i="4"/>
  <c r="T51" i="4"/>
  <c r="S51" i="4"/>
  <c r="R51" i="4"/>
  <c r="Q51" i="4"/>
  <c r="P51" i="4"/>
  <c r="O51" i="4"/>
  <c r="N51" i="4"/>
  <c r="W50" i="4"/>
  <c r="V50" i="4"/>
  <c r="U50" i="4"/>
  <c r="T50" i="4"/>
  <c r="S50" i="4"/>
  <c r="R50" i="4"/>
  <c r="Q50" i="4"/>
  <c r="P50" i="4"/>
  <c r="O50" i="4"/>
  <c r="N50" i="4"/>
  <c r="W49" i="4"/>
  <c r="V49" i="4"/>
  <c r="U49" i="4"/>
  <c r="T49" i="4"/>
  <c r="S49" i="4"/>
  <c r="R49" i="4"/>
  <c r="Q49" i="4"/>
  <c r="P49" i="4"/>
  <c r="O49" i="4"/>
  <c r="N49" i="4"/>
  <c r="W48" i="4"/>
  <c r="V48" i="4"/>
  <c r="U48" i="4"/>
  <c r="T48" i="4"/>
  <c r="S48" i="4"/>
  <c r="R48" i="4"/>
  <c r="Q48" i="4"/>
  <c r="P48" i="4"/>
  <c r="O48" i="4"/>
  <c r="N48" i="4"/>
  <c r="W44" i="4"/>
  <c r="S93" i="5" s="1"/>
  <c r="V44" i="4"/>
  <c r="R93" i="5" s="1"/>
  <c r="U44" i="4"/>
  <c r="T44" i="4"/>
  <c r="S44" i="4"/>
  <c r="R44" i="4"/>
  <c r="Q44" i="4"/>
  <c r="M93" i="5" s="1"/>
  <c r="P44" i="4"/>
  <c r="L93" i="5" s="1"/>
  <c r="O44" i="4"/>
  <c r="K93" i="5" s="1"/>
  <c r="N44" i="4"/>
  <c r="J93" i="5" s="1"/>
  <c r="W43" i="4"/>
  <c r="V43" i="4"/>
  <c r="R92" i="5" s="1"/>
  <c r="U43" i="4"/>
  <c r="Q92" i="5" s="1"/>
  <c r="T43" i="4"/>
  <c r="P92" i="5" s="1"/>
  <c r="S43" i="4"/>
  <c r="O92" i="5" s="1"/>
  <c r="R43" i="4"/>
  <c r="Q43" i="4"/>
  <c r="M92" i="5" s="1"/>
  <c r="P43" i="4"/>
  <c r="L92" i="5" s="1"/>
  <c r="O43" i="4"/>
  <c r="K92" i="5" s="1"/>
  <c r="N43" i="4"/>
  <c r="J92" i="5" s="1"/>
  <c r="W42" i="4"/>
  <c r="V42" i="4"/>
  <c r="U42" i="4"/>
  <c r="T42" i="4"/>
  <c r="S42" i="4"/>
  <c r="R42" i="4"/>
  <c r="Q42" i="4"/>
  <c r="P42" i="4"/>
  <c r="O42" i="4"/>
  <c r="N42" i="4"/>
  <c r="W41" i="4"/>
  <c r="V41" i="4"/>
  <c r="R90" i="5" s="1"/>
  <c r="U41" i="4"/>
  <c r="Q90" i="5" s="1"/>
  <c r="T41" i="4"/>
  <c r="S41" i="4"/>
  <c r="R41" i="4"/>
  <c r="Q41" i="4"/>
  <c r="M90" i="5" s="1"/>
  <c r="P41" i="4"/>
  <c r="L90" i="5" s="1"/>
  <c r="O41" i="4"/>
  <c r="K90" i="5" s="1"/>
  <c r="N41" i="4"/>
  <c r="J90" i="5" s="1"/>
  <c r="W40" i="4"/>
  <c r="V40" i="4"/>
  <c r="R89" i="5" s="1"/>
  <c r="U40" i="4"/>
  <c r="Q89" i="5" s="1"/>
  <c r="T40" i="4"/>
  <c r="P89" i="5" s="1"/>
  <c r="S40" i="4"/>
  <c r="O89" i="5" s="1"/>
  <c r="R40" i="4"/>
  <c r="Q40" i="4"/>
  <c r="P40" i="4"/>
  <c r="L89" i="5" s="1"/>
  <c r="O40" i="4"/>
  <c r="K89" i="5" s="1"/>
  <c r="N40" i="4"/>
  <c r="J89" i="5" s="1"/>
  <c r="W39" i="4"/>
  <c r="S88" i="5" s="1"/>
  <c r="V39" i="4"/>
  <c r="R88" i="5" s="1"/>
  <c r="U39" i="4"/>
  <c r="T39" i="4"/>
  <c r="S39" i="4"/>
  <c r="R39" i="4"/>
  <c r="Q39" i="4"/>
  <c r="P39" i="4"/>
  <c r="O39" i="4"/>
  <c r="N39" i="4"/>
  <c r="W35" i="4"/>
  <c r="V35" i="4"/>
  <c r="U35" i="4"/>
  <c r="T35" i="4"/>
  <c r="S35" i="4"/>
  <c r="R35" i="4"/>
  <c r="Q35" i="4"/>
  <c r="P35" i="4"/>
  <c r="O35" i="4"/>
  <c r="N35" i="4"/>
  <c r="W34" i="4"/>
  <c r="V34" i="4"/>
  <c r="U34" i="4"/>
  <c r="T34" i="4"/>
  <c r="S34" i="4"/>
  <c r="R34" i="4"/>
  <c r="Q34" i="4"/>
  <c r="P34" i="4"/>
  <c r="O34" i="4"/>
  <c r="N34" i="4"/>
  <c r="W33" i="4"/>
  <c r="V33" i="4"/>
  <c r="U33" i="4"/>
  <c r="T33" i="4"/>
  <c r="S33" i="4"/>
  <c r="R33" i="4"/>
  <c r="Q33" i="4"/>
  <c r="P33" i="4"/>
  <c r="O33" i="4"/>
  <c r="N33" i="4"/>
  <c r="W32" i="4"/>
  <c r="V32" i="4"/>
  <c r="U32" i="4"/>
  <c r="T32" i="4"/>
  <c r="S32" i="4"/>
  <c r="R32" i="4"/>
  <c r="Q32" i="4"/>
  <c r="P32" i="4"/>
  <c r="O32" i="4"/>
  <c r="N32" i="4"/>
  <c r="W31" i="4"/>
  <c r="V31" i="4"/>
  <c r="U31" i="4"/>
  <c r="T31" i="4"/>
  <c r="S31" i="4"/>
  <c r="R31" i="4"/>
  <c r="Q31" i="4"/>
  <c r="P31" i="4"/>
  <c r="O31" i="4"/>
  <c r="N31" i="4"/>
  <c r="W30" i="4"/>
  <c r="V30" i="4"/>
  <c r="U30" i="4"/>
  <c r="T30" i="4"/>
  <c r="S30" i="4"/>
  <c r="R30" i="4"/>
  <c r="Q30" i="4"/>
  <c r="P30" i="4"/>
  <c r="O30" i="4"/>
  <c r="N30" i="4"/>
  <c r="W26" i="4"/>
  <c r="V26" i="4"/>
  <c r="U26" i="4"/>
  <c r="T26" i="4"/>
  <c r="S26" i="4"/>
  <c r="R26" i="4"/>
  <c r="Q26" i="4"/>
  <c r="P26" i="4"/>
  <c r="O26" i="4"/>
  <c r="N26" i="4"/>
  <c r="W25" i="4"/>
  <c r="V25" i="4"/>
  <c r="U25" i="4"/>
  <c r="T25" i="4"/>
  <c r="S25" i="4"/>
  <c r="R25" i="4"/>
  <c r="Q25" i="4"/>
  <c r="P25" i="4"/>
  <c r="O25" i="4"/>
  <c r="N25" i="4"/>
  <c r="W24" i="4"/>
  <c r="V24" i="4"/>
  <c r="U24" i="4"/>
  <c r="T24" i="4"/>
  <c r="S24" i="4"/>
  <c r="R24" i="4"/>
  <c r="Q24" i="4"/>
  <c r="P24" i="4"/>
  <c r="O24" i="4"/>
  <c r="N24" i="4"/>
  <c r="W23" i="4"/>
  <c r="V23" i="4"/>
  <c r="U23" i="4"/>
  <c r="T23" i="4"/>
  <c r="S23" i="4"/>
  <c r="R23" i="4"/>
  <c r="Q23" i="4"/>
  <c r="P23" i="4"/>
  <c r="O23" i="4"/>
  <c r="N23" i="4"/>
  <c r="W22" i="4"/>
  <c r="V22" i="4"/>
  <c r="U22" i="4"/>
  <c r="T22" i="4"/>
  <c r="S22" i="4"/>
  <c r="R22" i="4"/>
  <c r="Q22" i="4"/>
  <c r="P22" i="4"/>
  <c r="O22" i="4"/>
  <c r="N22" i="4"/>
  <c r="W21" i="4"/>
  <c r="V21" i="4"/>
  <c r="U21" i="4"/>
  <c r="T21" i="4"/>
  <c r="S21" i="4"/>
  <c r="R21" i="4"/>
  <c r="Q21" i="4"/>
  <c r="P21" i="4"/>
  <c r="O21" i="4"/>
  <c r="N21" i="4"/>
  <c r="N13" i="4"/>
  <c r="O13" i="4"/>
  <c r="P13" i="4"/>
  <c r="Q13" i="4"/>
  <c r="R13" i="4"/>
  <c r="S13" i="4"/>
  <c r="T13" i="4"/>
  <c r="U13" i="4"/>
  <c r="V13" i="4"/>
  <c r="W13" i="4"/>
  <c r="N14" i="4"/>
  <c r="O14" i="4"/>
  <c r="P14" i="4"/>
  <c r="Q14" i="4"/>
  <c r="R14" i="4"/>
  <c r="S14" i="4"/>
  <c r="T14" i="4"/>
  <c r="U14" i="4"/>
  <c r="V14" i="4"/>
  <c r="W14" i="4"/>
  <c r="N15" i="4"/>
  <c r="O15" i="4"/>
  <c r="P15" i="4"/>
  <c r="Q15" i="4"/>
  <c r="R15" i="4"/>
  <c r="S15" i="4"/>
  <c r="T15" i="4"/>
  <c r="U15" i="4"/>
  <c r="V15" i="4"/>
  <c r="W15" i="4"/>
  <c r="N16" i="4"/>
  <c r="O16" i="4"/>
  <c r="P16" i="4"/>
  <c r="Q16" i="4"/>
  <c r="R16" i="4"/>
  <c r="S16" i="4"/>
  <c r="T16" i="4"/>
  <c r="U16" i="4"/>
  <c r="V16" i="4"/>
  <c r="W16" i="4"/>
  <c r="N17" i="4"/>
  <c r="O17" i="4"/>
  <c r="P17" i="4"/>
  <c r="Q17" i="4"/>
  <c r="R17" i="4"/>
  <c r="S17" i="4"/>
  <c r="T17" i="4"/>
  <c r="U17" i="4"/>
  <c r="V17" i="4"/>
  <c r="W17" i="4"/>
  <c r="W12" i="4"/>
  <c r="V12" i="4"/>
  <c r="U12" i="4"/>
  <c r="T12" i="4"/>
  <c r="S12" i="4"/>
  <c r="R12" i="4"/>
  <c r="Q12" i="4"/>
  <c r="P12" i="4"/>
  <c r="O12" i="4"/>
  <c r="N12" i="4"/>
  <c r="W4" i="4"/>
  <c r="W5" i="4"/>
  <c r="W6" i="4"/>
  <c r="W7" i="4"/>
  <c r="W8" i="4"/>
  <c r="W3" i="4"/>
  <c r="V4" i="4"/>
  <c r="V5" i="4"/>
  <c r="V6" i="4"/>
  <c r="V7" i="4"/>
  <c r="V8" i="4"/>
  <c r="V3" i="4"/>
  <c r="U4" i="4"/>
  <c r="U5" i="4"/>
  <c r="U6" i="4"/>
  <c r="U7" i="4"/>
  <c r="U8" i="4"/>
  <c r="U3" i="4"/>
  <c r="T4" i="4"/>
  <c r="T5" i="4"/>
  <c r="T6" i="4"/>
  <c r="T7" i="4"/>
  <c r="T8" i="4"/>
  <c r="T3" i="4"/>
  <c r="S4" i="4"/>
  <c r="S5" i="4"/>
  <c r="S6" i="4"/>
  <c r="S7" i="4"/>
  <c r="S8" i="4"/>
  <c r="S3" i="4"/>
  <c r="R4" i="4"/>
  <c r="R5" i="4"/>
  <c r="R6" i="4"/>
  <c r="R7" i="4"/>
  <c r="R8" i="4"/>
  <c r="R3" i="4"/>
  <c r="Q4" i="4"/>
  <c r="Q5" i="4"/>
  <c r="B70" i="5" s="1"/>
  <c r="J47" i="5" s="1"/>
  <c r="Q6" i="4"/>
  <c r="Q7" i="4"/>
  <c r="Q8" i="4"/>
  <c r="Q3" i="4"/>
  <c r="P4" i="4"/>
  <c r="P5" i="4"/>
  <c r="P6" i="4"/>
  <c r="P7" i="4"/>
  <c r="P8" i="4"/>
  <c r="P3" i="4"/>
  <c r="O4" i="4"/>
  <c r="O5" i="4"/>
  <c r="O6" i="4"/>
  <c r="O7" i="4"/>
  <c r="O8" i="4"/>
  <c r="O3" i="4"/>
  <c r="N4" i="4"/>
  <c r="N5" i="4"/>
  <c r="N6" i="4"/>
  <c r="N7" i="4"/>
  <c r="N8" i="4"/>
  <c r="N3" i="4"/>
  <c r="J48" i="5" l="1"/>
  <c r="J49" i="5"/>
  <c r="N93" i="5"/>
  <c r="N104" i="5" s="1"/>
  <c r="O93" i="5"/>
  <c r="O104" i="5" s="1"/>
  <c r="S89" i="5"/>
  <c r="S100" i="5" s="1"/>
  <c r="N90" i="5"/>
  <c r="N101" i="5" s="1"/>
  <c r="P93" i="5"/>
  <c r="P104" i="5" s="1"/>
  <c r="S92" i="5"/>
  <c r="O90" i="5"/>
  <c r="O101" i="5" s="1"/>
  <c r="Q93" i="5"/>
  <c r="Q104" i="5" s="1"/>
  <c r="P90" i="5"/>
  <c r="P101" i="5" s="1"/>
  <c r="S90" i="5"/>
  <c r="S101" i="5" s="1"/>
  <c r="K91" i="5"/>
  <c r="K102" i="5" s="1"/>
  <c r="N89" i="5"/>
  <c r="N100" i="5" s="1"/>
  <c r="L91" i="5"/>
  <c r="L102" i="5" s="1"/>
  <c r="K88" i="5"/>
  <c r="K99" i="5" s="1"/>
  <c r="M91" i="5"/>
  <c r="M102" i="5" s="1"/>
  <c r="L88" i="5"/>
  <c r="L99" i="5" s="1"/>
  <c r="N91" i="5"/>
  <c r="N102" i="5" s="1"/>
  <c r="S103" i="5"/>
  <c r="M88" i="5"/>
  <c r="M99" i="5" s="1"/>
  <c r="O91" i="5"/>
  <c r="O102" i="5" s="1"/>
  <c r="N88" i="5"/>
  <c r="N99" i="5" s="1"/>
  <c r="P91" i="5"/>
  <c r="P102" i="5" s="1"/>
  <c r="O88" i="5"/>
  <c r="O99" i="5" s="1"/>
  <c r="Q91" i="5"/>
  <c r="Q102" i="5" s="1"/>
  <c r="N92" i="5"/>
  <c r="N103" i="5" s="1"/>
  <c r="P88" i="5"/>
  <c r="P99" i="5" s="1"/>
  <c r="R91" i="5"/>
  <c r="R102" i="5" s="1"/>
  <c r="Q88" i="5"/>
  <c r="Q99" i="5" s="1"/>
  <c r="S91" i="5"/>
  <c r="S102" i="5" s="1"/>
  <c r="J104" i="5"/>
  <c r="J91" i="5"/>
  <c r="J102" i="5" s="1"/>
  <c r="J88" i="5"/>
  <c r="J99" i="5" s="1"/>
  <c r="O103" i="5"/>
  <c r="K100" i="5"/>
  <c r="J101" i="5"/>
  <c r="L101" i="5"/>
  <c r="J100" i="5"/>
  <c r="K104" i="5"/>
  <c r="R104" i="5"/>
  <c r="Q103" i="5"/>
  <c r="R101" i="5"/>
  <c r="R100" i="5"/>
  <c r="M103" i="5"/>
  <c r="M101" i="5"/>
  <c r="P103" i="5"/>
  <c r="S104" i="5"/>
  <c r="L103" i="5"/>
  <c r="K103" i="5"/>
  <c r="Q101" i="5"/>
  <c r="R99" i="5"/>
  <c r="O100" i="5"/>
  <c r="L100" i="5"/>
  <c r="L104" i="5"/>
  <c r="P100" i="5"/>
  <c r="J63" i="5"/>
  <c r="M89" i="5"/>
  <c r="M100" i="5" s="1"/>
  <c r="R103" i="5"/>
  <c r="S99" i="5"/>
  <c r="J103" i="5"/>
  <c r="K101" i="5"/>
  <c r="M104" i="5"/>
  <c r="Q100" i="5"/>
  <c r="J50" i="5" l="1"/>
  <c r="J65" i="5" s="1"/>
  <c r="J66" i="5" s="1"/>
</calcChain>
</file>

<file path=xl/sharedStrings.xml><?xml version="1.0" encoding="utf-8"?>
<sst xmlns="http://schemas.openxmlformats.org/spreadsheetml/2006/main" count="384" uniqueCount="113">
  <si>
    <t>Timaru</t>
  </si>
  <si>
    <t>ARI</t>
  </si>
  <si>
    <t>10 min</t>
  </si>
  <si>
    <t>20 min</t>
  </si>
  <si>
    <t>30 min</t>
  </si>
  <si>
    <t>1 hour</t>
  </si>
  <si>
    <t>2 hour</t>
  </si>
  <si>
    <t>6 hour</t>
  </si>
  <si>
    <t>12 hour</t>
  </si>
  <si>
    <t>24 hour</t>
  </si>
  <si>
    <t>48 hour</t>
  </si>
  <si>
    <t>72 hour</t>
  </si>
  <si>
    <t>Geraldine</t>
  </si>
  <si>
    <t>Design Rainfalls for Timaru under projected climate change to 2090s (mm)</t>
  </si>
  <si>
    <t xml:space="preserve">Temuka </t>
  </si>
  <si>
    <t>Design Rainfalls for Geraldine under projected climate change to 2090s (mm)</t>
  </si>
  <si>
    <t>Temuka</t>
  </si>
  <si>
    <t>Design Rainfalls for Temuka under projected climate change to 2090s (mm)</t>
  </si>
  <si>
    <t>Design Rainfalls for Timaru under current climate conditions (in mm/hr)</t>
  </si>
  <si>
    <t>Design Rainfalls for Timaru under projected climate change to 2090s (mm/hr)</t>
  </si>
  <si>
    <t>Design Rainfalls for Geraldine under projected climate change to 2090s (mm/hr)</t>
  </si>
  <si>
    <t>Design Rainfalls for Temuka under projected climate change to 2090s (mm/hr)</t>
  </si>
  <si>
    <t xml:space="preserve">Location </t>
  </si>
  <si>
    <t>Industrial</t>
  </si>
  <si>
    <t>Urban</t>
  </si>
  <si>
    <t>Roof Area</t>
  </si>
  <si>
    <t>Other Impervious Area</t>
  </si>
  <si>
    <t>Pervious Area</t>
  </si>
  <si>
    <t>Soil Type</t>
  </si>
  <si>
    <t xml:space="preserve">Clay </t>
  </si>
  <si>
    <t xml:space="preserve">Gravel </t>
  </si>
  <si>
    <t>Rainfall Intensity</t>
  </si>
  <si>
    <t>Existing</t>
  </si>
  <si>
    <t xml:space="preserve">Future </t>
  </si>
  <si>
    <t>A. Site Data</t>
  </si>
  <si>
    <t>Permissible site discharge</t>
  </si>
  <si>
    <t>Area</t>
  </si>
  <si>
    <t>C Value</t>
  </si>
  <si>
    <t>YES</t>
  </si>
  <si>
    <t>NO</t>
  </si>
  <si>
    <t>Ref: On-site Stormwater Management Guideline, NZWERF, 2004</t>
  </si>
  <si>
    <t>Ref: C-Values, NZBC E1</t>
  </si>
  <si>
    <t>Choose the location from the drop down menu</t>
  </si>
  <si>
    <t>Choose the soil type from the menu, if unknown, select clay</t>
  </si>
  <si>
    <t>Typical areas: driveway, patio etc</t>
  </si>
  <si>
    <t>Typical areas: grass, landscape</t>
  </si>
  <si>
    <t>Enter existing roof area</t>
  </si>
  <si>
    <t>C-Values</t>
  </si>
  <si>
    <t>mm/hr</t>
  </si>
  <si>
    <t>Timaru District Council to advise the critical storm event for the network. If this information is not available, use a 1 hour duration and ARI 5.</t>
  </si>
  <si>
    <t>years</t>
  </si>
  <si>
    <t>C. Runoff - BY RATIONAL METHOD</t>
  </si>
  <si>
    <t>Post-Development Runoff</t>
  </si>
  <si>
    <t>L/s</t>
  </si>
  <si>
    <t xml:space="preserve">Critical Storm Duration </t>
  </si>
  <si>
    <t>Total</t>
  </si>
  <si>
    <t>Peak Discharge (L/s)</t>
  </si>
  <si>
    <t>Pre-development site discharge for storms of given ARI and time</t>
  </si>
  <si>
    <t>Pre-development Areas</t>
  </si>
  <si>
    <t>Post-development Areas</t>
  </si>
  <si>
    <t>Uncaptured Areas</t>
  </si>
  <si>
    <t>Captured Area</t>
  </si>
  <si>
    <r>
      <t>m</t>
    </r>
    <r>
      <rPr>
        <vertAlign val="superscript"/>
        <sz val="10"/>
        <color theme="3"/>
        <rFont val="Arial"/>
        <family val="2"/>
      </rPr>
      <t>2</t>
    </r>
  </si>
  <si>
    <t>Pleasant Point</t>
  </si>
  <si>
    <t>Design Rainfalls for Pleasant Point under projected climate change to 2090s (mm)</t>
  </si>
  <si>
    <t>Design Rainfalls for Pleasant Point under projected climate change to 2090s (mm/hr)</t>
  </si>
  <si>
    <t>Enter total roof area captured by the rain tank</t>
  </si>
  <si>
    <t>Roof</t>
  </si>
  <si>
    <t xml:space="preserve">Impervious/ Paved </t>
  </si>
  <si>
    <t xml:space="preserve">Pervious </t>
  </si>
  <si>
    <t>Total Post-Development Runoff</t>
  </si>
  <si>
    <t>Stormwater Neutality for</t>
  </si>
  <si>
    <t>Remaining after Roof Capture</t>
  </si>
  <si>
    <t xml:space="preserve">Pre-development </t>
  </si>
  <si>
    <t>Total Pre-Development Runoff</t>
  </si>
  <si>
    <t></t>
  </si>
  <si>
    <t>Activity</t>
  </si>
  <si>
    <t>Residential</t>
  </si>
  <si>
    <t>Pre-development Areas (m²)</t>
  </si>
  <si>
    <t>Total Impervious Areas (m²)</t>
  </si>
  <si>
    <t>Entrer the areas provided in your Application for stormwater disharge form</t>
  </si>
  <si>
    <t xml:space="preserve">Roof </t>
  </si>
  <si>
    <t xml:space="preserve">Driveway   </t>
  </si>
  <si>
    <t>Other hardstand</t>
  </si>
  <si>
    <t>Right of Way (ROW)</t>
  </si>
  <si>
    <t>Pervious/Grass/Garden</t>
  </si>
  <si>
    <t>N/A</t>
  </si>
  <si>
    <t>Commercial</t>
  </si>
  <si>
    <t>Others</t>
  </si>
  <si>
    <t>Notes:</t>
  </si>
  <si>
    <t>BROWN cells can be selected from drop-down list or entered with appropriate values</t>
  </si>
  <si>
    <t>Proposed additional development Areas (m²)</t>
  </si>
  <si>
    <t>Site data validity</t>
  </si>
  <si>
    <t>Other pervious area</t>
  </si>
  <si>
    <t>Total Runoff</t>
  </si>
  <si>
    <t>Surface Area (m²)</t>
  </si>
  <si>
    <t>Post-development</t>
  </si>
  <si>
    <t>Stormwater Neutrality Calculator</t>
  </si>
  <si>
    <t>B. Site Data - What is the proposed Increase in Impervious/hardstand Surface</t>
  </si>
  <si>
    <t>C. Stormwater Runoff</t>
  </si>
  <si>
    <t>A. Location and Runoff</t>
  </si>
  <si>
    <t>Ref: Rainfall data, Design Rainfall Report, Opus, 2015 [include the effect of climate change to 2090]</t>
  </si>
  <si>
    <t>D. Stormwater Neutrality - [Pre-development - Post-development Discharge]</t>
  </si>
  <si>
    <t>Runoff to be Captured (l/s)</t>
  </si>
  <si>
    <t>RED cells are not to changed - contain formulas</t>
  </si>
  <si>
    <t>Surface Types</t>
  </si>
  <si>
    <t xml:space="preserve">   Total Runoff</t>
  </si>
  <si>
    <t>Runoff Coefficient - C Values</t>
  </si>
  <si>
    <t>Runoff Coefficient - C Value</t>
  </si>
  <si>
    <t>Rational Method used to calculate the runoff</t>
  </si>
  <si>
    <t>Post C</t>
  </si>
  <si>
    <t>Pre C</t>
  </si>
  <si>
    <r>
      <t>Runoff Volume to be Captured (m</t>
    </r>
    <r>
      <rPr>
        <b/>
        <sz val="12"/>
        <color rgb="FFFF0000"/>
        <rFont val="Calibri"/>
        <family val="2"/>
      </rPr>
      <t>³</t>
    </r>
    <r>
      <rPr>
        <b/>
        <sz val="12"/>
        <color rgb="FFFF000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</si>
</sst>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4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i/>
      <sz val="11"/>
      <color theme="1" tint="0.1499984740745262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3"/>
      <name val="Calibri"/>
      <family val="2"/>
      <scheme val="minor"/>
    </font>
    <font>
      <vertAlign val="superscript"/>
      <sz val="10"/>
      <color theme="3"/>
      <name val="Arial"/>
      <family val="2"/>
    </font>
    <font>
      <b/>
      <sz val="11"/>
      <color rgb="FF44546A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b/>
      <sz val="12"/>
      <color theme="4" tint="-0.249977111117893"/>
      <name val="Calibri"/>
      <family val="2"/>
      <scheme val="minor"/>
    </font>
    <font>
      <sz val="11"/>
      <color theme="2" tint="-0.499984740745262"/>
      <name val="Wingdings 3"/>
      <family val="1"/>
      <charset val="2"/>
    </font>
    <font>
      <b/>
      <i/>
      <sz val="10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</font>
    <font>
      <b/>
      <sz val="12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2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theme="4" tint="0.499984740745262"/>
      </top>
      <bottom/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4" applyNumberFormat="0" applyAlignment="0" applyProtection="0"/>
    <xf numFmtId="0" fontId="1" fillId="7" borderId="0" applyNumberFormat="0" applyBorder="0" applyAlignment="0" applyProtection="0"/>
    <xf numFmtId="0" fontId="9" fillId="0" borderId="5" applyNumberFormat="0" applyFill="0" applyAlignment="0" applyProtection="0"/>
    <xf numFmtId="0" fontId="10" fillId="5" borderId="3" applyNumberFormat="0" applyAlignment="0" applyProtection="0"/>
    <xf numFmtId="0" fontId="11" fillId="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86">
    <xf numFmtId="0" fontId="0" fillId="0" borderId="0" xfId="0"/>
    <xf numFmtId="0" fontId="6" fillId="4" borderId="0" xfId="6"/>
    <xf numFmtId="0" fontId="4" fillId="2" borderId="0" xfId="4"/>
    <xf numFmtId="0" fontId="5" fillId="3" borderId="0" xfId="5"/>
    <xf numFmtId="0" fontId="3" fillId="0" borderId="2" xfId="2"/>
    <xf numFmtId="0" fontId="2" fillId="0" borderId="1" xfId="1"/>
    <xf numFmtId="0" fontId="3" fillId="0" borderId="0" xfId="3"/>
    <xf numFmtId="0" fontId="3" fillId="0" borderId="0" xfId="3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3" fillId="0" borderId="0" xfId="13"/>
    <xf numFmtId="0" fontId="9" fillId="0" borderId="5" xfId="9"/>
    <xf numFmtId="0" fontId="0" fillId="0" borderId="0" xfId="0" applyBorder="1"/>
    <xf numFmtId="0" fontId="0" fillId="0" borderId="0" xfId="0" applyFont="1"/>
    <xf numFmtId="164" fontId="0" fillId="0" borderId="0" xfId="0" applyNumberFormat="1"/>
    <xf numFmtId="0" fontId="15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16" fillId="0" borderId="0" xfId="13" applyFont="1"/>
    <xf numFmtId="0" fontId="2" fillId="0" borderId="0" xfId="1" applyBorder="1"/>
    <xf numFmtId="0" fontId="0" fillId="0" borderId="0" xfId="0" applyFont="1" applyBorder="1"/>
    <xf numFmtId="0" fontId="3" fillId="0" borderId="0" xfId="2" applyBorder="1"/>
    <xf numFmtId="0" fontId="18" fillId="0" borderId="0" xfId="12" applyFont="1"/>
    <xf numFmtId="0" fontId="2" fillId="0" borderId="0" xfId="1" applyBorder="1" applyAlignment="1">
      <alignment horizontal="left"/>
    </xf>
    <xf numFmtId="2" fontId="0" fillId="0" borderId="0" xfId="0" applyNumberFormat="1" applyFont="1"/>
    <xf numFmtId="0" fontId="5" fillId="3" borderId="0" xfId="5" applyAlignment="1">
      <alignment horizontal="right"/>
    </xf>
    <xf numFmtId="0" fontId="19" fillId="0" borderId="9" xfId="12" applyFont="1" applyBorder="1" applyAlignment="1">
      <alignment horizontal="left" vertical="top"/>
    </xf>
    <xf numFmtId="2" fontId="0" fillId="0" borderId="0" xfId="0" applyNumberFormat="1" applyFont="1" applyFill="1"/>
    <xf numFmtId="2" fontId="0" fillId="0" borderId="0" xfId="0" applyNumberFormat="1" applyFont="1" applyFill="1" applyAlignment="1">
      <alignment horizontal="center"/>
    </xf>
    <xf numFmtId="165" fontId="0" fillId="0" borderId="0" xfId="0" applyNumberFormat="1" applyFont="1"/>
    <xf numFmtId="0" fontId="3" fillId="0" borderId="12" xfId="2" applyBorder="1"/>
    <xf numFmtId="0" fontId="3" fillId="0" borderId="0" xfId="3" applyBorder="1" applyAlignment="1">
      <alignment horizontal="left" indent="1"/>
    </xf>
    <xf numFmtId="0" fontId="7" fillId="6" borderId="4" xfId="7" applyAlignment="1">
      <alignment horizontal="center"/>
    </xf>
    <xf numFmtId="0" fontId="21" fillId="0" borderId="0" xfId="0" applyFont="1" applyBorder="1"/>
    <xf numFmtId="0" fontId="10" fillId="5" borderId="0" xfId="10" applyBorder="1"/>
    <xf numFmtId="0" fontId="2" fillId="0" borderId="1" xfId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26" fillId="0" borderId="0" xfId="0" applyFont="1" applyBorder="1" applyAlignment="1">
      <alignment vertical="top"/>
    </xf>
    <xf numFmtId="0" fontId="23" fillId="0" borderId="0" xfId="0" applyFont="1" applyBorder="1" applyAlignment="1">
      <alignment horizontal="center" vertical="center"/>
    </xf>
    <xf numFmtId="0" fontId="3" fillId="0" borderId="0" xfId="3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vertical="center"/>
    </xf>
    <xf numFmtId="0" fontId="0" fillId="0" borderId="0" xfId="0" applyBorder="1"/>
    <xf numFmtId="0" fontId="3" fillId="0" borderId="14" xfId="3" applyBorder="1" applyAlignment="1">
      <alignment horizontal="center"/>
    </xf>
    <xf numFmtId="2" fontId="2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24" fillId="0" borderId="16" xfId="0" applyFont="1" applyBorder="1" applyAlignment="1">
      <alignment vertical="center"/>
    </xf>
    <xf numFmtId="2" fontId="0" fillId="0" borderId="17" xfId="0" applyNumberFormat="1" applyBorder="1" applyAlignment="1">
      <alignment horizontal="center"/>
    </xf>
    <xf numFmtId="2" fontId="3" fillId="0" borderId="14" xfId="3" applyNumberFormat="1" applyBorder="1" applyAlignment="1">
      <alignment horizontal="center"/>
    </xf>
    <xf numFmtId="2" fontId="0" fillId="0" borderId="16" xfId="0" applyNumberFormat="1" applyBorder="1"/>
    <xf numFmtId="2" fontId="24" fillId="0" borderId="16" xfId="0" applyNumberFormat="1" applyFont="1" applyBorder="1" applyAlignment="1">
      <alignment vertical="center"/>
    </xf>
    <xf numFmtId="2" fontId="0" fillId="0" borderId="16" xfId="0" applyNumberFormat="1" applyBorder="1" applyAlignment="1">
      <alignment horizontal="center"/>
    </xf>
    <xf numFmtId="1" fontId="24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24" fillId="0" borderId="0" xfId="0" applyNumberFormat="1" applyFont="1" applyBorder="1" applyAlignment="1">
      <alignment vertical="center"/>
    </xf>
    <xf numFmtId="164" fontId="0" fillId="0" borderId="13" xfId="0" applyNumberFormat="1" applyBorder="1" applyAlignment="1"/>
    <xf numFmtId="0" fontId="8" fillId="0" borderId="13" xfId="0" applyFont="1" applyBorder="1" applyAlignment="1">
      <alignment horizontal="center"/>
    </xf>
    <xf numFmtId="0" fontId="0" fillId="0" borderId="14" xfId="0" applyBorder="1"/>
    <xf numFmtId="164" fontId="0" fillId="0" borderId="11" xfId="0" applyNumberFormat="1" applyBorder="1"/>
    <xf numFmtId="0" fontId="8" fillId="0" borderId="11" xfId="0" applyFont="1" applyBorder="1" applyAlignment="1">
      <alignment horizontal="center"/>
    </xf>
    <xf numFmtId="0" fontId="0" fillId="0" borderId="17" xfId="0" applyBorder="1"/>
    <xf numFmtId="0" fontId="0" fillId="0" borderId="0" xfId="0"/>
    <xf numFmtId="0" fontId="3" fillId="9" borderId="6" xfId="3" applyFill="1" applyBorder="1" applyAlignment="1">
      <alignment horizontal="center"/>
    </xf>
    <xf numFmtId="0" fontId="27" fillId="0" borderId="18" xfId="0" applyFont="1" applyBorder="1"/>
    <xf numFmtId="0" fontId="28" fillId="0" borderId="19" xfId="13" applyFont="1" applyBorder="1"/>
    <xf numFmtId="0" fontId="3" fillId="10" borderId="7" xfId="3" applyFill="1" applyBorder="1" applyAlignment="1">
      <alignment horizontal="center"/>
    </xf>
    <xf numFmtId="0" fontId="28" fillId="0" borderId="0" xfId="13" applyFont="1"/>
    <xf numFmtId="0" fontId="30" fillId="0" borderId="0" xfId="0" applyFont="1"/>
    <xf numFmtId="0" fontId="7" fillId="11" borderId="20" xfId="7" applyFill="1" applyBorder="1" applyAlignment="1">
      <alignment horizontal="center"/>
    </xf>
    <xf numFmtId="0" fontId="3" fillId="0" borderId="21" xfId="3" applyBorder="1" applyAlignment="1">
      <alignment horizontal="left" indent="1"/>
    </xf>
    <xf numFmtId="0" fontId="21" fillId="9" borderId="21" xfId="8" applyFont="1" applyFill="1" applyBorder="1" applyAlignment="1" applyProtection="1">
      <alignment horizontal="center"/>
      <protection locked="0"/>
    </xf>
    <xf numFmtId="0" fontId="32" fillId="0" borderId="0" xfId="0" applyFont="1"/>
    <xf numFmtId="0" fontId="3" fillId="0" borderId="0" xfId="3" applyAlignment="1">
      <alignment horizontal="left" vertical="center"/>
    </xf>
    <xf numFmtId="0" fontId="31" fillId="12" borderId="21" xfId="0" applyFont="1" applyFill="1" applyBorder="1" applyAlignment="1">
      <alignment horizontal="center" vertical="center"/>
    </xf>
    <xf numFmtId="0" fontId="31" fillId="12" borderId="23" xfId="0" applyFont="1" applyFill="1" applyBorder="1" applyAlignment="1">
      <alignment horizontal="center" vertical="center"/>
    </xf>
    <xf numFmtId="0" fontId="3" fillId="0" borderId="22" xfId="3" applyBorder="1" applyAlignment="1">
      <alignment horizontal="left" indent="1"/>
    </xf>
    <xf numFmtId="0" fontId="7" fillId="9" borderId="10" xfId="7" applyFill="1" applyBorder="1" applyAlignment="1">
      <alignment horizontal="center"/>
    </xf>
    <xf numFmtId="0" fontId="7" fillId="9" borderId="8" xfId="7" applyFill="1" applyBorder="1" applyAlignment="1">
      <alignment horizontal="center"/>
    </xf>
    <xf numFmtId="0" fontId="28" fillId="0" borderId="0" xfId="13" applyFont="1" applyAlignment="1">
      <alignment horizontal="center" vertical="center" wrapText="1"/>
    </xf>
    <xf numFmtId="0" fontId="0" fillId="0" borderId="0" xfId="0" applyAlignment="1"/>
    <xf numFmtId="0" fontId="0" fillId="0" borderId="0" xfId="0" applyBorder="1"/>
    <xf numFmtId="2" fontId="24" fillId="0" borderId="0" xfId="0" applyNumberFormat="1" applyFont="1" applyBorder="1" applyAlignment="1">
      <alignment vertical="center"/>
    </xf>
    <xf numFmtId="0" fontId="0" fillId="0" borderId="0" xfId="0"/>
    <xf numFmtId="0" fontId="0" fillId="0" borderId="0" xfId="0" applyFont="1" applyAlignment="1"/>
    <xf numFmtId="0" fontId="31" fillId="12" borderId="2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12" borderId="21" xfId="2" applyFont="1" applyFill="1" applyBorder="1" applyAlignment="1">
      <alignment horizontal="center" wrapText="1"/>
    </xf>
    <xf numFmtId="0" fontId="0" fillId="14" borderId="0" xfId="0" applyFill="1"/>
    <xf numFmtId="0" fontId="3" fillId="14" borderId="0" xfId="3" applyFill="1" applyAlignment="1">
      <alignment horizontal="left" indent="1"/>
    </xf>
    <xf numFmtId="0" fontId="21" fillId="14" borderId="0" xfId="0" applyFont="1" applyFill="1" applyBorder="1" applyAlignment="1">
      <alignment horizontal="left"/>
    </xf>
    <xf numFmtId="0" fontId="0" fillId="14" borderId="0" xfId="0" applyFont="1" applyFill="1"/>
    <xf numFmtId="0" fontId="0" fillId="14" borderId="0" xfId="0" applyFill="1" applyBorder="1"/>
    <xf numFmtId="0" fontId="29" fillId="14" borderId="0" xfId="0" applyFont="1" applyFill="1"/>
    <xf numFmtId="0" fontId="33" fillId="11" borderId="27" xfId="0" applyFont="1" applyFill="1" applyBorder="1"/>
    <xf numFmtId="0" fontId="3" fillId="0" borderId="0" xfId="3" applyAlignment="1">
      <alignment horizontal="left"/>
    </xf>
    <xf numFmtId="0" fontId="27" fillId="0" borderId="18" xfId="0" applyFont="1" applyBorder="1" applyAlignment="1"/>
    <xf numFmtId="0" fontId="21" fillId="0" borderId="0" xfId="0" applyFont="1" applyBorder="1" applyAlignment="1"/>
    <xf numFmtId="0" fontId="3" fillId="5" borderId="0" xfId="3" applyFill="1" applyBorder="1" applyAlignment="1">
      <alignment horizontal="center"/>
    </xf>
    <xf numFmtId="0" fontId="17" fillId="0" borderId="0" xfId="13" applyFont="1" applyBorder="1"/>
    <xf numFmtId="0" fontId="23" fillId="0" borderId="0" xfId="0" applyFont="1" applyBorder="1" applyAlignment="1">
      <alignment vertical="center"/>
    </xf>
    <xf numFmtId="0" fontId="21" fillId="8" borderId="0" xfId="8" applyFont="1" applyFill="1" applyBorder="1" applyAlignment="1" applyProtection="1">
      <alignment horizontal="center"/>
      <protection locked="0"/>
    </xf>
    <xf numFmtId="2" fontId="20" fillId="6" borderId="0" xfId="7" applyNumberFormat="1" applyFont="1" applyBorder="1" applyAlignment="1">
      <alignment horizontal="center"/>
    </xf>
    <xf numFmtId="0" fontId="20" fillId="6" borderId="0" xfId="7" applyFont="1" applyBorder="1" applyAlignment="1">
      <alignment horizontal="center"/>
    </xf>
    <xf numFmtId="0" fontId="23" fillId="0" borderId="0" xfId="0" applyFont="1" applyBorder="1" applyAlignment="1">
      <alignment vertical="top"/>
    </xf>
    <xf numFmtId="0" fontId="3" fillId="0" borderId="0" xfId="8" applyFont="1" applyFill="1" applyBorder="1" applyAlignment="1" applyProtection="1">
      <alignment horizontal="center"/>
      <protection locked="0"/>
    </xf>
    <xf numFmtId="2" fontId="7" fillId="6" borderId="0" xfId="7" applyNumberFormat="1" applyBorder="1" applyAlignment="1">
      <alignment horizontal="center"/>
    </xf>
    <xf numFmtId="0" fontId="17" fillId="0" borderId="0" xfId="13" applyFont="1" applyFill="1" applyBorder="1"/>
    <xf numFmtId="2" fontId="3" fillId="0" borderId="0" xfId="2" applyNumberFormat="1" applyBorder="1"/>
    <xf numFmtId="2" fontId="23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vertical="center"/>
    </xf>
    <xf numFmtId="2" fontId="7" fillId="6" borderId="0" xfId="7" applyNumberFormat="1" applyBorder="1"/>
    <xf numFmtId="2" fontId="23" fillId="0" borderId="0" xfId="0" applyNumberFormat="1" applyFont="1" applyBorder="1" applyAlignment="1">
      <alignment vertical="top"/>
    </xf>
    <xf numFmtId="2" fontId="3" fillId="0" borderId="0" xfId="3" applyNumberFormat="1" applyBorder="1"/>
    <xf numFmtId="0" fontId="7" fillId="8" borderId="0" xfId="7" applyFill="1" applyBorder="1" applyAlignment="1">
      <alignment horizontal="center"/>
    </xf>
    <xf numFmtId="0" fontId="19" fillId="0" borderId="0" xfId="12" applyFont="1" applyBorder="1" applyAlignment="1">
      <alignment horizontal="left" vertical="top"/>
    </xf>
    <xf numFmtId="0" fontId="0" fillId="0" borderId="0" xfId="0" applyBorder="1" applyAlignment="1">
      <alignment wrapText="1"/>
    </xf>
    <xf numFmtId="0" fontId="7" fillId="6" borderId="0" xfId="7" applyBorder="1" applyAlignment="1">
      <alignment horizontal="center"/>
    </xf>
    <xf numFmtId="0" fontId="0" fillId="0" borderId="0" xfId="0" applyFont="1" applyFill="1" applyBorder="1"/>
    <xf numFmtId="0" fontId="5" fillId="3" borderId="0" xfId="5" applyBorder="1" applyAlignment="1">
      <alignment horizontal="center"/>
    </xf>
    <xf numFmtId="0" fontId="5" fillId="3" borderId="0" xfId="5" applyBorder="1"/>
    <xf numFmtId="0" fontId="23" fillId="0" borderId="21" xfId="0" applyFont="1" applyBorder="1" applyAlignment="1">
      <alignment horizontal="right" vertical="top"/>
    </xf>
    <xf numFmtId="0" fontId="3" fillId="0" borderId="36" xfId="3" applyFill="1" applyBorder="1" applyAlignment="1">
      <alignment horizontal="left" indent="1"/>
    </xf>
    <xf numFmtId="0" fontId="3" fillId="0" borderId="21" xfId="3" applyBorder="1" applyAlignment="1">
      <alignment horizontal="left" vertical="center"/>
    </xf>
    <xf numFmtId="0" fontId="37" fillId="14" borderId="38" xfId="0" applyFont="1" applyFill="1" applyBorder="1" applyAlignment="1">
      <alignment horizontal="left" vertical="center" indent="1"/>
    </xf>
    <xf numFmtId="2" fontId="0" fillId="0" borderId="0" xfId="0" applyNumberFormat="1"/>
    <xf numFmtId="0" fontId="3" fillId="11" borderId="21" xfId="8" applyFont="1" applyFill="1" applyBorder="1" applyAlignment="1" applyProtection="1">
      <alignment horizontal="center"/>
    </xf>
    <xf numFmtId="0" fontId="3" fillId="11" borderId="21" xfId="0" applyFont="1" applyFill="1" applyBorder="1" applyAlignment="1" applyProtection="1">
      <alignment horizontal="center"/>
    </xf>
    <xf numFmtId="0" fontId="0" fillId="0" borderId="0" xfId="0" applyProtection="1"/>
    <xf numFmtId="0" fontId="7" fillId="11" borderId="24" xfId="7" applyFill="1" applyBorder="1" applyAlignment="1" applyProtection="1">
      <alignment horizontal="center"/>
    </xf>
    <xf numFmtId="0" fontId="0" fillId="14" borderId="0" xfId="0" applyFill="1" applyProtection="1"/>
    <xf numFmtId="0" fontId="34" fillId="11" borderId="21" xfId="8" applyFont="1" applyFill="1" applyBorder="1" applyAlignment="1" applyProtection="1">
      <alignment horizontal="center"/>
    </xf>
    <xf numFmtId="2" fontId="34" fillId="11" borderId="21" xfId="0" applyNumberFormat="1" applyFont="1" applyFill="1" applyBorder="1" applyAlignment="1" applyProtection="1">
      <alignment horizontal="center" vertical="center"/>
    </xf>
    <xf numFmtId="0" fontId="34" fillId="11" borderId="21" xfId="0" applyFont="1" applyFill="1" applyBorder="1" applyAlignment="1" applyProtection="1">
      <alignment horizontal="center"/>
    </xf>
    <xf numFmtId="1" fontId="34" fillId="11" borderId="21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164" fontId="38" fillId="15" borderId="37" xfId="0" applyNumberFormat="1" applyFont="1" applyFill="1" applyBorder="1" applyAlignment="1" applyProtection="1">
      <alignment horizontal="center" vertical="center" wrapText="1"/>
    </xf>
    <xf numFmtId="164" fontId="38" fillId="15" borderId="37" xfId="0" applyNumberFormat="1" applyFont="1" applyFill="1" applyBorder="1" applyAlignment="1" applyProtection="1">
      <alignment horizontal="center" vertical="center"/>
    </xf>
    <xf numFmtId="0" fontId="41" fillId="13" borderId="28" xfId="0" applyFont="1" applyFill="1" applyBorder="1" applyAlignment="1">
      <alignment horizontal="left"/>
    </xf>
    <xf numFmtId="0" fontId="41" fillId="13" borderId="29" xfId="0" applyFont="1" applyFill="1" applyBorder="1" applyAlignment="1">
      <alignment horizontal="left"/>
    </xf>
    <xf numFmtId="0" fontId="41" fillId="13" borderId="30" xfId="0" applyFont="1" applyFill="1" applyBorder="1" applyAlignment="1">
      <alignment horizontal="left"/>
    </xf>
    <xf numFmtId="0" fontId="41" fillId="13" borderId="27" xfId="0" applyFont="1" applyFill="1" applyBorder="1" applyAlignment="1">
      <alignment horizontal="left"/>
    </xf>
    <xf numFmtId="0" fontId="41" fillId="13" borderId="0" xfId="0" applyFont="1" applyFill="1" applyBorder="1" applyAlignment="1">
      <alignment horizontal="left"/>
    </xf>
    <xf numFmtId="0" fontId="41" fillId="13" borderId="31" xfId="0" applyFont="1" applyFill="1" applyBorder="1" applyAlignment="1">
      <alignment horizontal="left"/>
    </xf>
    <xf numFmtId="0" fontId="31" fillId="12" borderId="35" xfId="0" applyFont="1" applyFill="1" applyBorder="1" applyAlignment="1">
      <alignment horizontal="left" wrapText="1"/>
    </xf>
    <xf numFmtId="0" fontId="31" fillId="12" borderId="17" xfId="0" applyFont="1" applyFill="1" applyBorder="1" applyAlignment="1">
      <alignment horizontal="left" wrapText="1"/>
    </xf>
    <xf numFmtId="0" fontId="0" fillId="0" borderId="0" xfId="0"/>
    <xf numFmtId="2" fontId="34" fillId="11" borderId="21" xfId="11" applyNumberFormat="1" applyFont="1" applyFill="1" applyBorder="1" applyAlignment="1" applyProtection="1">
      <alignment horizontal="center"/>
    </xf>
    <xf numFmtId="0" fontId="0" fillId="14" borderId="0" xfId="0" applyFill="1"/>
    <xf numFmtId="0" fontId="36" fillId="12" borderId="21" xfId="2" applyFont="1" applyFill="1" applyBorder="1" applyAlignment="1">
      <alignment horizontal="center"/>
    </xf>
    <xf numFmtId="2" fontId="35" fillId="11" borderId="21" xfId="0" applyNumberFormat="1" applyFont="1" applyFill="1" applyBorder="1" applyAlignment="1" applyProtection="1">
      <alignment horizontal="center" vertical="center"/>
    </xf>
    <xf numFmtId="0" fontId="36" fillId="12" borderId="22" xfId="2" applyFont="1" applyFill="1" applyBorder="1" applyAlignment="1">
      <alignment horizontal="center"/>
    </xf>
    <xf numFmtId="0" fontId="36" fillId="12" borderId="25" xfId="2" applyFont="1" applyFill="1" applyBorder="1" applyAlignment="1">
      <alignment horizontal="center"/>
    </xf>
    <xf numFmtId="0" fontId="31" fillId="12" borderId="22" xfId="0" applyFont="1" applyFill="1" applyBorder="1" applyAlignment="1">
      <alignment horizontal="center"/>
    </xf>
    <xf numFmtId="0" fontId="31" fillId="12" borderId="23" xfId="0" applyFont="1" applyFill="1" applyBorder="1" applyAlignment="1">
      <alignment horizontal="center"/>
    </xf>
    <xf numFmtId="0" fontId="28" fillId="0" borderId="15" xfId="13" applyFont="1" applyBorder="1" applyAlignment="1">
      <alignment horizontal="left"/>
    </xf>
    <xf numFmtId="0" fontId="28" fillId="0" borderId="0" xfId="13" applyFont="1" applyBorder="1" applyAlignment="1">
      <alignment horizontal="left"/>
    </xf>
    <xf numFmtId="0" fontId="3" fillId="12" borderId="21" xfId="2" applyFont="1" applyFill="1" applyBorder="1" applyAlignment="1">
      <alignment horizontal="center" wrapText="1"/>
    </xf>
    <xf numFmtId="0" fontId="28" fillId="0" borderId="0" xfId="13" applyFont="1" applyAlignment="1">
      <alignment horizontal="center" vertical="center" wrapText="1"/>
    </xf>
    <xf numFmtId="0" fontId="21" fillId="9" borderId="21" xfId="8" applyFont="1" applyFill="1" applyBorder="1" applyAlignment="1" applyProtection="1">
      <alignment horizontal="center"/>
      <protection locked="0"/>
    </xf>
    <xf numFmtId="0" fontId="21" fillId="9" borderId="21" xfId="8" applyFont="1" applyFill="1" applyBorder="1" applyAlignment="1" applyProtection="1">
      <alignment horizontal="center" wrapText="1"/>
      <protection locked="0"/>
    </xf>
    <xf numFmtId="0" fontId="3" fillId="11" borderId="21" xfId="8" applyFont="1" applyFill="1" applyBorder="1" applyAlignment="1" applyProtection="1">
      <alignment horizontal="center"/>
    </xf>
    <xf numFmtId="0" fontId="21" fillId="0" borderId="26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0" fillId="9" borderId="27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19" fillId="0" borderId="0" xfId="12" applyFont="1" applyBorder="1" applyAlignment="1">
      <alignment horizontal="center" vertical="center" wrapText="1"/>
    </xf>
    <xf numFmtId="0" fontId="0" fillId="0" borderId="0" xfId="0" applyBorder="1" applyAlignment="1"/>
    <xf numFmtId="2" fontId="11" fillId="6" borderId="0" xfId="11" applyNumberFormat="1" applyBorder="1" applyAlignment="1">
      <alignment horizontal="center"/>
    </xf>
    <xf numFmtId="0" fontId="0" fillId="0" borderId="0" xfId="0" applyBorder="1"/>
    <xf numFmtId="0" fontId="23" fillId="0" borderId="0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2" fontId="11" fillId="6" borderId="11" xfId="11" applyNumberFormat="1" applyBorder="1" applyAlignment="1">
      <alignment horizontal="center"/>
    </xf>
    <xf numFmtId="2" fontId="23" fillId="0" borderId="13" xfId="0" applyNumberFormat="1" applyFont="1" applyBorder="1" applyAlignment="1">
      <alignment horizontal="center" wrapText="1"/>
    </xf>
    <xf numFmtId="2" fontId="25" fillId="0" borderId="0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vertical="center"/>
    </xf>
  </cellXfs>
  <cellStyles count="14">
    <cellStyle name="20% - Accent4" xfId="8" builtinId="42"/>
    <cellStyle name="Bad" xfId="5" builtinId="27"/>
    <cellStyle name="Calculation" xfId="11" builtinId="22"/>
    <cellStyle name="Explanatory Text" xfId="13" builtinId="53"/>
    <cellStyle name="Good" xfId="4" builtinId="26"/>
    <cellStyle name="Heading 1" xfId="9" builtinId="16"/>
    <cellStyle name="Heading 2" xfId="1" builtinId="17"/>
    <cellStyle name="Heading 3" xfId="2" builtinId="18"/>
    <cellStyle name="Heading 4" xfId="3" builtinId="19"/>
    <cellStyle name="Input" xfId="10" builtinId="20"/>
    <cellStyle name="Neutral" xfId="6" builtinId="28"/>
    <cellStyle name="Normal" xfId="0" builtinId="0" customBuiltin="1"/>
    <cellStyle name="Output" xfId="7" builtinId="21"/>
    <cellStyle name="Warning Text" xfId="12" builtinId="11"/>
  </cellStyles>
  <dxfs count="32">
    <dxf>
      <font>
        <b val="0"/>
        <i/>
        <color rgb="FFFF0000"/>
      </font>
      <fill>
        <patternFill patternType="none">
          <bgColor auto="1"/>
        </patternFill>
      </fill>
    </dxf>
    <dxf>
      <font>
        <b val="0"/>
        <i val="0"/>
        <color theme="9" tint="-0.24994659260841701"/>
      </font>
      <fill>
        <patternFill patternType="solid">
          <bgColor theme="9" tint="0.59996337778862885"/>
        </patternFill>
      </fill>
    </dxf>
    <dxf>
      <font>
        <b val="0"/>
        <i/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/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b val="0"/>
        <i val="0"/>
        <color rgb="FFFF0000"/>
      </font>
      <fill>
        <patternFill patternType="solid">
          <bgColor rgb="FFFF9F9F"/>
        </patternFill>
      </fill>
    </dxf>
    <dxf>
      <font>
        <b val="0"/>
        <i/>
        <color rgb="FFFF0000"/>
      </font>
      <fill>
        <patternFill patternType="none">
          <bgColor auto="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B9B9"/>
        </patternFill>
      </fill>
    </dxf>
  </dxfs>
  <tableStyles count="0" defaultTableStyle="TableStyleMedium2" defaultPivotStyle="PivotStyleLight16"/>
  <colors>
    <mruColors>
      <color rgb="FFFF7C80"/>
      <color rgb="FFFFCC99"/>
      <color rgb="FFFF9F9F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w/Documents/Offline%20Records%20(TL)/Water%20Supply%20Services%20-%20Infrastructure%20-%20Procedures/Acceptable%20Solution%201%20Tank%20Selection%20Sheet%20-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s"/>
      <sheetName val="Tank Selection Sheet"/>
      <sheetName val="Rainfall Data"/>
    </sheetNames>
    <sheetDataSet>
      <sheetData sheetId="0">
        <row r="86">
          <cell r="A86" t="str">
            <v>DEVAN 2,000 LTR TANK</v>
          </cell>
          <cell r="B86" t="str">
            <v>DEVAN 3,500 LTR TANK</v>
          </cell>
          <cell r="C86" t="str">
            <v>DEVAN 4,000 LTR TANK</v>
          </cell>
          <cell r="D86" t="str">
            <v>DEVAN 5,000 LTR TANK</v>
          </cell>
        </row>
        <row r="87">
          <cell r="A87" t="str">
            <v>2000L Thin Tank</v>
          </cell>
          <cell r="B87" t="str">
            <v>Double Metro Tank</v>
          </cell>
          <cell r="C87" t="str">
            <v>4,000L STORMBANK</v>
          </cell>
          <cell r="D87" t="str">
            <v>5,000L STORMBANK</v>
          </cell>
        </row>
        <row r="88">
          <cell r="A88" t="str">
            <v>2,000L STORMBANK</v>
          </cell>
          <cell r="B88" t="str">
            <v>Promax Slimline Water Tank 3000L</v>
          </cell>
          <cell r="C88" t="str">
            <v>4000L Thin Tank</v>
          </cell>
          <cell r="D88" t="str">
            <v>5000L Thin Tank</v>
          </cell>
        </row>
        <row r="89">
          <cell r="A89" t="str">
            <v>Promax Slimline Water Tank 2000L</v>
          </cell>
          <cell r="B89" t="str">
            <v>3000L Thin Tank</v>
          </cell>
          <cell r="D89" t="str">
            <v>Promax Slimline Water Tank 5000L</v>
          </cell>
        </row>
        <row r="90">
          <cell r="B90" t="str">
            <v>3,000L STORMBANK</v>
          </cell>
          <cell r="D90" t="str">
            <v>3 x Metro Tank (Modular)</v>
          </cell>
        </row>
      </sheetData>
      <sheetData sheetId="1" refreshError="1"/>
      <sheetData sheetId="2">
        <row r="2">
          <cell r="M2" t="str">
            <v>ARI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7"/>
  <sheetViews>
    <sheetView tabSelected="1" topLeftCell="A7" zoomScale="90" zoomScaleNormal="90" workbookViewId="0">
      <selection activeCell="C25" sqref="C25"/>
    </sheetView>
  </sheetViews>
  <sheetFormatPr defaultRowHeight="15" x14ac:dyDescent="0.25"/>
  <cols>
    <col min="1" max="1" width="35.42578125" customWidth="1"/>
    <col min="2" max="2" width="30.7109375" customWidth="1"/>
    <col min="3" max="3" width="2.85546875" customWidth="1"/>
    <col min="4" max="4" width="25" customWidth="1"/>
    <col min="5" max="5" width="26" customWidth="1"/>
    <col min="6" max="6" width="26.28515625" customWidth="1"/>
    <col min="7" max="7" width="25.28515625" customWidth="1"/>
    <col min="8" max="8" width="43.42578125" customWidth="1"/>
    <col min="9" max="9" width="13.28515625" customWidth="1"/>
    <col min="10" max="10" width="12.7109375" customWidth="1"/>
    <col min="11" max="12" width="9.140625" customWidth="1"/>
    <col min="13" max="13" width="9.5703125" hidden="1" customWidth="1"/>
    <col min="14" max="14" width="10.140625" hidden="1" customWidth="1"/>
    <col min="15" max="16" width="12.42578125" customWidth="1"/>
    <col min="17" max="17" width="9.140625" customWidth="1"/>
    <col min="18" max="18" width="13.7109375" hidden="1" customWidth="1"/>
    <col min="19" max="20" width="9.140625" hidden="1" customWidth="1"/>
    <col min="21" max="27" width="9.140625" customWidth="1"/>
  </cols>
  <sheetData>
    <row r="1" spans="1:22" ht="20.25" thickBot="1" x14ac:dyDescent="0.35">
      <c r="A1" s="12" t="s">
        <v>97</v>
      </c>
      <c r="B1" s="12"/>
      <c r="C1" s="12"/>
    </row>
    <row r="2" spans="1:22" ht="18" thickTop="1" x14ac:dyDescent="0.3">
      <c r="A2" s="11" t="s">
        <v>40</v>
      </c>
      <c r="I2" s="38"/>
      <c r="J2" s="20"/>
      <c r="K2" s="20"/>
      <c r="L2" s="21"/>
      <c r="M2" s="21"/>
      <c r="N2" s="21"/>
    </row>
    <row r="3" spans="1:22" x14ac:dyDescent="0.25">
      <c r="A3" s="11" t="s">
        <v>41</v>
      </c>
    </row>
    <row r="4" spans="1:22" x14ac:dyDescent="0.25">
      <c r="A4" s="11" t="s">
        <v>101</v>
      </c>
      <c r="R4" s="14" t="s">
        <v>38</v>
      </c>
    </row>
    <row r="5" spans="1:22" x14ac:dyDescent="0.25">
      <c r="A5" s="11" t="s">
        <v>109</v>
      </c>
    </row>
    <row r="6" spans="1:22" s="39" customFormat="1" x14ac:dyDescent="0.25">
      <c r="A6" s="11"/>
      <c r="R6" s="14"/>
    </row>
    <row r="7" spans="1:22" s="39" customFormat="1" ht="18" thickBot="1" x14ac:dyDescent="0.35">
      <c r="A7" s="5" t="s">
        <v>100</v>
      </c>
      <c r="Q7" s="149"/>
      <c r="R7" s="149"/>
      <c r="S7" s="14"/>
      <c r="T7" s="14"/>
      <c r="U7" s="14"/>
      <c r="V7" s="14"/>
    </row>
    <row r="8" spans="1:22" s="39" customFormat="1" ht="16.5" thickTop="1" thickBot="1" x14ac:dyDescent="0.3">
      <c r="A8" s="76" t="s">
        <v>22</v>
      </c>
      <c r="B8" s="66" t="s">
        <v>0</v>
      </c>
      <c r="C8" s="67" t="s">
        <v>75</v>
      </c>
      <c r="D8" s="68" t="s">
        <v>42</v>
      </c>
      <c r="E8" s="91"/>
      <c r="F8" s="91"/>
      <c r="G8" s="91"/>
      <c r="Q8" s="149"/>
      <c r="R8" s="149"/>
      <c r="T8" s="14"/>
      <c r="U8" s="14"/>
      <c r="V8" s="14"/>
    </row>
    <row r="9" spans="1:22" s="39" customFormat="1" ht="15.75" hidden="1" thickBot="1" x14ac:dyDescent="0.3">
      <c r="A9" s="76" t="s">
        <v>28</v>
      </c>
      <c r="B9" s="69" t="str">
        <f>IF(B8="Timaru",S11,IF(B8="Temuka",S12,IF(B8="Pleasant Point",S12,S11)))</f>
        <v xml:space="preserve">Clay </v>
      </c>
      <c r="D9" s="70"/>
      <c r="E9" s="91"/>
      <c r="F9" s="91"/>
      <c r="G9" s="96"/>
      <c r="H9" s="65"/>
      <c r="Q9" s="149"/>
      <c r="R9" s="149"/>
      <c r="S9" s="14"/>
      <c r="T9" s="14"/>
      <c r="U9" s="14"/>
      <c r="V9" s="14"/>
    </row>
    <row r="10" spans="1:22" s="39" customFormat="1" ht="15.75" customHeight="1" x14ac:dyDescent="0.25">
      <c r="A10" s="76" t="s">
        <v>76</v>
      </c>
      <c r="B10" s="72" t="s">
        <v>77</v>
      </c>
      <c r="C10" s="158"/>
      <c r="D10" s="159"/>
      <c r="E10" s="141" t="s">
        <v>89</v>
      </c>
      <c r="F10" s="142"/>
      <c r="G10" s="143"/>
      <c r="H10" s="71"/>
      <c r="Q10" s="149"/>
      <c r="R10" s="149"/>
      <c r="S10" s="14"/>
      <c r="T10" s="14"/>
      <c r="U10" s="14"/>
      <c r="V10" s="14"/>
    </row>
    <row r="11" spans="1:22" s="83" customFormat="1" ht="15" customHeight="1" x14ac:dyDescent="0.25">
      <c r="A11" s="98" t="s">
        <v>1</v>
      </c>
      <c r="B11" s="80">
        <v>10</v>
      </c>
      <c r="C11" s="99" t="s">
        <v>75</v>
      </c>
      <c r="D11" s="100" t="s">
        <v>50</v>
      </c>
      <c r="E11" s="144"/>
      <c r="F11" s="145"/>
      <c r="G11" s="146"/>
      <c r="S11" s="87" t="s">
        <v>29</v>
      </c>
      <c r="T11" s="87">
        <v>0.4</v>
      </c>
      <c r="U11" s="87"/>
      <c r="V11" s="87"/>
    </row>
    <row r="12" spans="1:22" s="39" customFormat="1" ht="21" x14ac:dyDescent="0.35">
      <c r="A12" s="76" t="s">
        <v>54</v>
      </c>
      <c r="B12" s="81" t="s">
        <v>5</v>
      </c>
      <c r="C12" s="67" t="s">
        <v>75</v>
      </c>
      <c r="D12" s="27"/>
      <c r="E12" s="97"/>
      <c r="F12" s="168" t="s">
        <v>104</v>
      </c>
      <c r="G12" s="169"/>
      <c r="S12" s="14" t="s">
        <v>30</v>
      </c>
      <c r="T12" s="14">
        <v>0.2</v>
      </c>
      <c r="U12" s="14"/>
      <c r="V12" s="14"/>
    </row>
    <row r="13" spans="1:22" s="39" customFormat="1" ht="15.75" customHeight="1" thickBot="1" x14ac:dyDescent="0.3">
      <c r="A13" s="4" t="s">
        <v>31</v>
      </c>
      <c r="B13" s="33">
        <f>IF($B$8=$R$51,VLOOKUP($B$11,'Rainfall Data'!$M$2:$W$8,MATCH($B$12,'Rainfall Data'!$M$2:$W$2,0),0),(IF($B$8=$R$52,VLOOKUP($B$11,'Rainfall Data'!$M$20:$W$26,MATCH($B$12,'Rainfall Data'!$M$20:$W$20,0),0),IF($B$8=$R$53,J19VLOOKUP($B$11,'Rainfall Data'!$M$38:$W$44,MATCH($B$12,'Rainfall Data'!$M$38:$W$38,0),0),(IF($B$8=$R$54,VLOOKUP($B$11,'Rainfall Data'!$M$56:$W$62,MATCH($B$12,'Rainfall Data'!$M$56:$W$56,0),0),0))))))</f>
        <v>25</v>
      </c>
      <c r="C13" s="165" t="s">
        <v>48</v>
      </c>
      <c r="D13" s="166"/>
      <c r="E13" s="174"/>
      <c r="F13" s="170" t="s">
        <v>90</v>
      </c>
      <c r="G13" s="171"/>
      <c r="S13" s="14"/>
      <c r="T13" s="14"/>
      <c r="U13" s="14"/>
      <c r="V13" s="14"/>
    </row>
    <row r="14" spans="1:22" s="39" customFormat="1" ht="15" hidden="1" customHeight="1" x14ac:dyDescent="0.25">
      <c r="A14" s="7" t="s">
        <v>33</v>
      </c>
      <c r="B14" s="33">
        <f>IF($B$8=$R$51,VLOOKUP($B$11,'Rainfall Data'!$M$11:$W$17,MATCH($B$12,'Rainfall Data'!$M$11:$W$11,0),0),(IF($B$8=$R$52,VLOOKUP($B$11,'Rainfall Data'!$M$29:$W$35,MATCH($B$12,'Rainfall Data'!$M$29:$W$29,0),0),IF($B$8=$R$53,VLOOKUP($B$11,'Rainfall Data'!$M$47:$W$53,MATCH($B$12,'Rainfall Data'!$M$47:$W$47,0),0),(IF($B$8=$R$54,VLOOKUP($B$11,'Rainfall Data'!$M$65:$W$71,MATCH($B$12,'Rainfall Data'!$M$65:$W$65,0),0),0))))))</f>
        <v>25</v>
      </c>
      <c r="C14" s="165" t="s">
        <v>48</v>
      </c>
      <c r="D14" s="167"/>
      <c r="E14" s="174"/>
      <c r="F14" s="170"/>
      <c r="G14" s="171"/>
      <c r="S14" s="14"/>
      <c r="T14" s="14"/>
      <c r="U14" s="14"/>
      <c r="V14" s="14"/>
    </row>
    <row r="15" spans="1:22" s="91" customFormat="1" ht="15.75" thickBot="1" x14ac:dyDescent="0.3">
      <c r="A15" s="92"/>
      <c r="C15" s="93"/>
      <c r="D15" s="93"/>
      <c r="E15" s="175"/>
      <c r="F15" s="172"/>
      <c r="G15" s="173"/>
      <c r="S15" s="94"/>
      <c r="T15" s="94"/>
      <c r="U15" s="94"/>
      <c r="V15" s="94"/>
    </row>
    <row r="16" spans="1:22" s="65" customFormat="1" ht="18" thickBot="1" x14ac:dyDescent="0.35">
      <c r="A16" s="5" t="s">
        <v>98</v>
      </c>
      <c r="E16" s="91"/>
      <c r="F16" s="91"/>
      <c r="G16" s="91"/>
      <c r="Q16" s="39"/>
      <c r="R16" s="39"/>
      <c r="S16" s="14"/>
      <c r="T16" s="14"/>
      <c r="U16" s="14"/>
      <c r="V16" s="14"/>
    </row>
    <row r="17" spans="1:23" s="37" customFormat="1" ht="44.25" customHeight="1" thickTop="1" x14ac:dyDescent="0.25">
      <c r="A17" s="88" t="s">
        <v>105</v>
      </c>
      <c r="B17" s="90" t="s">
        <v>78</v>
      </c>
      <c r="C17" s="160" t="s">
        <v>91</v>
      </c>
      <c r="D17" s="160"/>
      <c r="E17" s="90" t="s">
        <v>79</v>
      </c>
      <c r="F17" s="90" t="s">
        <v>107</v>
      </c>
      <c r="G17" s="161" t="s">
        <v>80</v>
      </c>
      <c r="S17" s="89"/>
      <c r="T17" s="89"/>
      <c r="U17" s="89"/>
      <c r="V17" s="89"/>
    </row>
    <row r="18" spans="1:23" s="39" customFormat="1" x14ac:dyDescent="0.25">
      <c r="A18" s="73" t="s">
        <v>81</v>
      </c>
      <c r="B18" s="74">
        <v>50</v>
      </c>
      <c r="C18" s="162">
        <v>150</v>
      </c>
      <c r="D18" s="162"/>
      <c r="E18" s="129">
        <f>SUM(B18,C18)</f>
        <v>200</v>
      </c>
      <c r="F18" s="129">
        <v>0.9</v>
      </c>
      <c r="G18" s="161"/>
    </row>
    <row r="19" spans="1:23" s="39" customFormat="1" x14ac:dyDescent="0.25">
      <c r="A19" s="73" t="s">
        <v>82</v>
      </c>
      <c r="B19" s="74">
        <v>50</v>
      </c>
      <c r="C19" s="163">
        <v>0</v>
      </c>
      <c r="D19" s="163"/>
      <c r="E19" s="129">
        <f>SUM(B19,C19)</f>
        <v>50</v>
      </c>
      <c r="F19" s="129">
        <v>0.85</v>
      </c>
      <c r="G19" s="161"/>
      <c r="S19" s="14"/>
      <c r="T19" s="14"/>
      <c r="U19" s="14"/>
      <c r="V19" s="14"/>
    </row>
    <row r="20" spans="1:23" s="39" customFormat="1" x14ac:dyDescent="0.25">
      <c r="A20" s="73" t="s">
        <v>83</v>
      </c>
      <c r="B20" s="74">
        <v>0</v>
      </c>
      <c r="C20" s="162">
        <v>50</v>
      </c>
      <c r="D20" s="162"/>
      <c r="E20" s="129">
        <f>SUM(B20,C20)</f>
        <v>50</v>
      </c>
      <c r="F20" s="129">
        <v>0.85</v>
      </c>
      <c r="G20" s="161"/>
      <c r="S20" s="14"/>
      <c r="T20" s="14"/>
      <c r="U20" s="14"/>
      <c r="V20" s="14"/>
    </row>
    <row r="21" spans="1:23" s="39" customFormat="1" x14ac:dyDescent="0.25">
      <c r="A21" s="73" t="s">
        <v>84</v>
      </c>
      <c r="B21" s="74">
        <v>0</v>
      </c>
      <c r="C21" s="162">
        <v>0</v>
      </c>
      <c r="D21" s="162"/>
      <c r="E21" s="129">
        <f>SUM(B21,C21)</f>
        <v>0</v>
      </c>
      <c r="F21" s="129">
        <v>0.85</v>
      </c>
      <c r="G21" s="161"/>
      <c r="S21" s="14"/>
      <c r="T21" s="14"/>
      <c r="U21" s="14"/>
      <c r="V21" s="14"/>
    </row>
    <row r="22" spans="1:23" s="39" customFormat="1" x14ac:dyDescent="0.25">
      <c r="A22" s="73" t="s">
        <v>85</v>
      </c>
      <c r="B22" s="74">
        <v>500</v>
      </c>
      <c r="C22" s="162">
        <v>300</v>
      </c>
      <c r="D22" s="162"/>
      <c r="E22" s="130" t="s">
        <v>86</v>
      </c>
      <c r="F22" s="130">
        <f>(IF($B$9=$R$48,$S$48,(IF($B$9=$R$49,$S$49,0))))</f>
        <v>0.4</v>
      </c>
      <c r="G22" s="161"/>
      <c r="T22" s="14"/>
      <c r="U22" s="14"/>
      <c r="V22" s="14"/>
    </row>
    <row r="23" spans="1:23" s="39" customFormat="1" x14ac:dyDescent="0.25">
      <c r="A23" s="73" t="s">
        <v>93</v>
      </c>
      <c r="B23" s="74">
        <v>0</v>
      </c>
      <c r="C23" s="162">
        <v>0</v>
      </c>
      <c r="D23" s="162"/>
      <c r="E23" s="130" t="s">
        <v>86</v>
      </c>
      <c r="F23" s="130">
        <f>F22</f>
        <v>0.4</v>
      </c>
      <c r="G23" s="161"/>
      <c r="M23" s="86">
        <f>IF(C24&gt;0,(C18*F18+C19*F19+C20*F20+C21*F21+C22*F22+C23*F23)/C24,0)</f>
        <v>0.49583333333333335</v>
      </c>
      <c r="N23" s="39" t="s">
        <v>110</v>
      </c>
      <c r="T23" s="14"/>
      <c r="U23" s="14"/>
      <c r="V23" s="14"/>
    </row>
    <row r="24" spans="1:23" s="39" customFormat="1" x14ac:dyDescent="0.25">
      <c r="A24" s="126" t="s">
        <v>106</v>
      </c>
      <c r="B24" s="129">
        <f>SUM(B18:B23)</f>
        <v>600</v>
      </c>
      <c r="C24" s="164">
        <f>SUM(E18:E20,E21,C22,C23)</f>
        <v>600</v>
      </c>
      <c r="D24" s="164"/>
      <c r="E24" s="129">
        <f>SUM(E18,E19,E20,E21)</f>
        <v>300</v>
      </c>
      <c r="F24" s="131"/>
      <c r="G24" s="161"/>
      <c r="M24" s="39">
        <f>IF(B24&gt;0,(B18*F18+B19*F19+B20*F20+B21*F21+B22*F22+B23*F23)/B24,0)</f>
        <v>0.47916666666666669</v>
      </c>
      <c r="N24" s="39" t="s">
        <v>111</v>
      </c>
      <c r="V24" s="149"/>
      <c r="W24" s="149"/>
    </row>
    <row r="25" spans="1:23" s="39" customFormat="1" x14ac:dyDescent="0.25">
      <c r="A25" s="125" t="s">
        <v>92</v>
      </c>
      <c r="B25" s="132" t="str">
        <f>IF(B24&lt;&gt;C24, "Areas do not add up",IF((E18+E19+E20+E21)/C24&gt;0.7, "Impervious area greater than 70%", "Areas add up"))</f>
        <v>Areas add up</v>
      </c>
      <c r="C25" s="133"/>
      <c r="D25" s="133"/>
      <c r="E25" s="133"/>
      <c r="F25" s="91"/>
      <c r="G25" s="82"/>
    </row>
    <row r="26" spans="1:23" s="91" customFormat="1" x14ac:dyDescent="0.25">
      <c r="A26" s="95"/>
      <c r="B26" s="95"/>
      <c r="C26" s="95"/>
      <c r="D26" s="95"/>
      <c r="E26" s="95"/>
      <c r="F26" s="95"/>
      <c r="V26" s="151"/>
      <c r="W26" s="151"/>
    </row>
    <row r="27" spans="1:23" s="39" customFormat="1" ht="18" thickBot="1" x14ac:dyDescent="0.35">
      <c r="A27" s="5" t="s">
        <v>99</v>
      </c>
      <c r="B27" s="46"/>
      <c r="C27" s="95"/>
      <c r="D27" s="95"/>
      <c r="E27" s="95"/>
      <c r="F27" s="95"/>
      <c r="V27" s="149"/>
      <c r="W27" s="149"/>
    </row>
    <row r="28" spans="1:23" s="39" customFormat="1" ht="16.5" thickTop="1" x14ac:dyDescent="0.25">
      <c r="A28" s="147" t="s">
        <v>105</v>
      </c>
      <c r="B28" s="154" t="s">
        <v>73</v>
      </c>
      <c r="C28" s="155"/>
      <c r="D28" s="155"/>
      <c r="E28" s="152" t="s">
        <v>96</v>
      </c>
      <c r="F28" s="152"/>
      <c r="M28" s="128">
        <f>IF(B12="30 min", 0.5,IF(B12="10 min", 1/6, IF(B12="20 min", 1/3, VALUE(LEFT(B12,2)))))</f>
        <v>1</v>
      </c>
    </row>
    <row r="29" spans="1:23" s="39" customFormat="1" x14ac:dyDescent="0.25">
      <c r="A29" s="148"/>
      <c r="B29" s="77" t="s">
        <v>95</v>
      </c>
      <c r="C29" s="156" t="s">
        <v>56</v>
      </c>
      <c r="D29" s="157"/>
      <c r="E29" s="77" t="s">
        <v>95</v>
      </c>
      <c r="F29" s="77" t="s">
        <v>56</v>
      </c>
      <c r="G29" s="78" t="s">
        <v>108</v>
      </c>
    </row>
    <row r="30" spans="1:23" s="39" customFormat="1" x14ac:dyDescent="0.25">
      <c r="A30" s="79" t="s">
        <v>81</v>
      </c>
      <c r="B30" s="134">
        <f>B18</f>
        <v>50</v>
      </c>
      <c r="C30" s="150">
        <f>B30*G30*B13/3600</f>
        <v>0.3125</v>
      </c>
      <c r="D30" s="150"/>
      <c r="E30" s="134">
        <f>E18</f>
        <v>200</v>
      </c>
      <c r="F30" s="135">
        <f>E30*G30*B14/3600</f>
        <v>1.25</v>
      </c>
      <c r="G30" s="129">
        <f>F18</f>
        <v>0.9</v>
      </c>
    </row>
    <row r="31" spans="1:23" s="39" customFormat="1" x14ac:dyDescent="0.25">
      <c r="A31" s="79" t="s">
        <v>82</v>
      </c>
      <c r="B31" s="134">
        <f t="shared" ref="B31:B36" si="0">B19</f>
        <v>50</v>
      </c>
      <c r="C31" s="150">
        <f>B31*G31*B13/3600</f>
        <v>0.2951388888888889</v>
      </c>
      <c r="D31" s="150"/>
      <c r="E31" s="134">
        <f>E19</f>
        <v>50</v>
      </c>
      <c r="F31" s="135">
        <f>E31*G31*B14/3600</f>
        <v>0.2951388888888889</v>
      </c>
      <c r="G31" s="129">
        <f>F19</f>
        <v>0.85</v>
      </c>
    </row>
    <row r="32" spans="1:23" s="75" customFormat="1" x14ac:dyDescent="0.25">
      <c r="A32" s="79" t="s">
        <v>83</v>
      </c>
      <c r="B32" s="134">
        <f t="shared" si="0"/>
        <v>0</v>
      </c>
      <c r="C32" s="150">
        <f>B32*G32*B13/3600</f>
        <v>0</v>
      </c>
      <c r="D32" s="150"/>
      <c r="E32" s="134">
        <f>E20</f>
        <v>50</v>
      </c>
      <c r="F32" s="135">
        <f>E32*G32*B14/3600</f>
        <v>0.2951388888888889</v>
      </c>
      <c r="G32" s="129">
        <f>F20</f>
        <v>0.85</v>
      </c>
    </row>
    <row r="33" spans="1:23" s="39" customFormat="1" x14ac:dyDescent="0.25">
      <c r="A33" s="79" t="s">
        <v>84</v>
      </c>
      <c r="B33" s="134">
        <f t="shared" si="0"/>
        <v>0</v>
      </c>
      <c r="C33" s="150">
        <f>B33*G33*B13/3600</f>
        <v>0</v>
      </c>
      <c r="D33" s="150"/>
      <c r="E33" s="134">
        <f>E21</f>
        <v>0</v>
      </c>
      <c r="F33" s="135">
        <f>E33*G33*B14/3600</f>
        <v>0</v>
      </c>
      <c r="G33" s="129">
        <f>F21</f>
        <v>0.85</v>
      </c>
      <c r="M33" s="39" t="s">
        <v>77</v>
      </c>
    </row>
    <row r="34" spans="1:23" s="39" customFormat="1" x14ac:dyDescent="0.25">
      <c r="A34" s="79" t="s">
        <v>85</v>
      </c>
      <c r="B34" s="134">
        <f t="shared" si="0"/>
        <v>500</v>
      </c>
      <c r="C34" s="150">
        <f>B34*G34*B13/3600</f>
        <v>1.3888888888888888</v>
      </c>
      <c r="D34" s="150"/>
      <c r="E34" s="134">
        <f>B22-C18-C19-C20-C21</f>
        <v>300</v>
      </c>
      <c r="F34" s="135">
        <f>E34*G34*B14/3600</f>
        <v>0.83333333333333337</v>
      </c>
      <c r="G34" s="130">
        <f>F22</f>
        <v>0.4</v>
      </c>
      <c r="M34" s="14" t="s">
        <v>23</v>
      </c>
    </row>
    <row r="35" spans="1:23" s="39" customFormat="1" x14ac:dyDescent="0.25">
      <c r="A35" s="79" t="s">
        <v>93</v>
      </c>
      <c r="B35" s="134">
        <f t="shared" si="0"/>
        <v>0</v>
      </c>
      <c r="C35" s="150">
        <f>B35*G35*B13/3600</f>
        <v>0</v>
      </c>
      <c r="D35" s="150"/>
      <c r="E35" s="134">
        <f>C23</f>
        <v>0</v>
      </c>
      <c r="F35" s="135">
        <f>E35*G35*B14/3600</f>
        <v>0</v>
      </c>
      <c r="G35" s="130">
        <f>G34</f>
        <v>0.4</v>
      </c>
      <c r="M35" s="39" t="s">
        <v>87</v>
      </c>
    </row>
    <row r="36" spans="1:23" s="39" customFormat="1" x14ac:dyDescent="0.25">
      <c r="A36" s="124" t="s">
        <v>94</v>
      </c>
      <c r="B36" s="136">
        <f t="shared" si="0"/>
        <v>600</v>
      </c>
      <c r="C36" s="153">
        <f>SUM(C30:D35)</f>
        <v>1.9965277777777777</v>
      </c>
      <c r="D36" s="153"/>
      <c r="E36" s="137">
        <f>SUM(E30:E35)</f>
        <v>600</v>
      </c>
      <c r="F36" s="135">
        <f>SUM(F30:F35)</f>
        <v>2.6736111111111112</v>
      </c>
      <c r="G36" s="129"/>
      <c r="M36" s="39" t="s">
        <v>88</v>
      </c>
      <c r="V36" s="149"/>
      <c r="W36" s="149"/>
    </row>
    <row r="37" spans="1:23" s="91" customFormat="1" x14ac:dyDescent="0.25">
      <c r="B37" s="133"/>
      <c r="C37" s="133"/>
      <c r="D37" s="133"/>
      <c r="E37" s="133"/>
      <c r="F37" s="133"/>
      <c r="G37" s="133"/>
    </row>
    <row r="38" spans="1:23" s="65" customFormat="1" ht="18" thickBot="1" x14ac:dyDescent="0.35">
      <c r="A38" s="5" t="s">
        <v>102</v>
      </c>
      <c r="B38" s="138"/>
      <c r="C38" s="138"/>
      <c r="D38" s="138"/>
      <c r="E38" s="138"/>
      <c r="F38" s="138"/>
      <c r="G38" s="133"/>
      <c r="H38" s="91"/>
      <c r="I38" s="91"/>
      <c r="V38" s="149"/>
      <c r="W38" s="149"/>
    </row>
    <row r="39" spans="1:23" s="39" customFormat="1" ht="29.25" customHeight="1" thickTop="1" thickBot="1" x14ac:dyDescent="0.3">
      <c r="A39" s="127" t="s">
        <v>103</v>
      </c>
      <c r="B39" s="139">
        <f>IF(B25="Areas do not add up", "Areas don't add up, please check your input",F36-C36)</f>
        <v>0.67708333333333348</v>
      </c>
      <c r="C39" s="131"/>
      <c r="D39" s="131"/>
      <c r="E39" s="131"/>
      <c r="F39" s="131"/>
      <c r="G39" s="131"/>
      <c r="H39" s="86"/>
      <c r="I39" s="86"/>
    </row>
    <row r="40" spans="1:23" s="39" customFormat="1" ht="30" customHeight="1" thickBot="1" x14ac:dyDescent="0.3">
      <c r="A40" s="127" t="s">
        <v>112</v>
      </c>
      <c r="B40" s="140">
        <f>B39*3600*M28/1000</f>
        <v>2.4375000000000004</v>
      </c>
      <c r="C40" s="131"/>
      <c r="D40" s="131"/>
      <c r="E40" s="131"/>
      <c r="F40" s="131"/>
      <c r="G40" s="131"/>
      <c r="H40" s="86"/>
      <c r="I40" s="86"/>
      <c r="M40" s="8"/>
      <c r="N40" s="10"/>
      <c r="O40" s="46"/>
    </row>
    <row r="41" spans="1:23" s="86" customFormat="1" ht="15.75" customHeight="1" x14ac:dyDescent="0.25"/>
    <row r="42" spans="1:23" s="39" customFormat="1" x14ac:dyDescent="0.25">
      <c r="A42" s="11"/>
      <c r="B42" s="84"/>
      <c r="C42" s="84"/>
      <c r="D42" s="86"/>
      <c r="E42" s="86"/>
      <c r="F42" s="86"/>
      <c r="G42" s="86"/>
      <c r="H42" s="86"/>
      <c r="I42" s="86"/>
      <c r="R42" s="14"/>
    </row>
    <row r="43" spans="1:23" ht="15" hidden="1" customHeight="1" x14ac:dyDescent="0.25">
      <c r="A43" s="19"/>
      <c r="B43" s="84"/>
      <c r="C43" s="84"/>
      <c r="D43" s="84"/>
      <c r="E43" s="84"/>
      <c r="F43" s="84"/>
      <c r="G43" s="84"/>
      <c r="H43" s="84"/>
      <c r="I43" s="84"/>
      <c r="P43" s="149"/>
      <c r="Q43" s="149"/>
      <c r="R43" s="14" t="s">
        <v>39</v>
      </c>
    </row>
    <row r="44" spans="1:23" ht="18" hidden="1" thickBot="1" x14ac:dyDescent="0.35">
      <c r="A44" s="5" t="s">
        <v>34</v>
      </c>
      <c r="B44" s="84"/>
      <c r="C44" s="84"/>
      <c r="D44" s="84"/>
      <c r="E44" s="84"/>
      <c r="F44" s="84"/>
      <c r="G44" s="84"/>
      <c r="H44" s="84"/>
      <c r="I44" s="84"/>
      <c r="P44" s="149"/>
      <c r="Q44" s="149"/>
      <c r="R44" s="14"/>
      <c r="S44" s="14"/>
      <c r="T44" s="14"/>
      <c r="U44" s="14"/>
    </row>
    <row r="45" spans="1:23" hidden="1" x14ac:dyDescent="0.25">
      <c r="A45" s="7" t="s">
        <v>22</v>
      </c>
      <c r="B45" s="101" t="s">
        <v>0</v>
      </c>
      <c r="C45" s="102" t="s">
        <v>42</v>
      </c>
      <c r="D45" s="84"/>
      <c r="E45" s="84"/>
      <c r="F45" s="84"/>
      <c r="G45" s="84"/>
      <c r="H45" s="84"/>
      <c r="I45" s="84"/>
      <c r="P45" s="149"/>
      <c r="Q45" s="149"/>
      <c r="R45" s="14" t="s">
        <v>23</v>
      </c>
      <c r="S45" s="14" t="s">
        <v>2</v>
      </c>
      <c r="T45" s="14">
        <v>100</v>
      </c>
      <c r="U45" s="14"/>
    </row>
    <row r="46" spans="1:23" ht="15.75" hidden="1" customHeight="1" x14ac:dyDescent="0.25">
      <c r="A46" s="7" t="s">
        <v>28</v>
      </c>
      <c r="B46" s="101" t="s">
        <v>29</v>
      </c>
      <c r="C46" s="102" t="s">
        <v>43</v>
      </c>
      <c r="D46" s="84"/>
      <c r="E46" s="84"/>
      <c r="F46" s="84"/>
      <c r="G46" s="84"/>
      <c r="H46" s="40" t="s">
        <v>73</v>
      </c>
      <c r="I46" s="41" t="s">
        <v>36</v>
      </c>
      <c r="J46" s="181" t="s">
        <v>56</v>
      </c>
      <c r="K46" s="181"/>
      <c r="L46" s="47" t="s">
        <v>37</v>
      </c>
      <c r="N46" s="13"/>
      <c r="P46" s="149"/>
      <c r="Q46" s="149"/>
      <c r="R46" s="14" t="s">
        <v>24</v>
      </c>
      <c r="S46" s="14" t="s">
        <v>2</v>
      </c>
      <c r="T46" s="14">
        <v>5</v>
      </c>
      <c r="U46" s="14"/>
    </row>
    <row r="47" spans="1:23" ht="15.75" hidden="1" thickBot="1" x14ac:dyDescent="0.3">
      <c r="A47" s="4" t="s">
        <v>58</v>
      </c>
      <c r="B47" s="84"/>
      <c r="C47" s="84"/>
      <c r="D47" s="22" t="s">
        <v>47</v>
      </c>
      <c r="E47" s="84"/>
      <c r="F47" s="84"/>
      <c r="G47" s="84"/>
      <c r="H47" s="103" t="s">
        <v>67</v>
      </c>
      <c r="I47" s="43">
        <f>B48</f>
        <v>50</v>
      </c>
      <c r="J47" s="178">
        <f>I47*L47*B70/3600</f>
        <v>0.3125</v>
      </c>
      <c r="K47" s="178"/>
      <c r="L47" s="48">
        <f>D48</f>
        <v>0.9</v>
      </c>
      <c r="N47" s="13"/>
      <c r="P47" s="149"/>
      <c r="Q47" s="149"/>
      <c r="R47" s="14"/>
      <c r="S47" s="14"/>
      <c r="T47" s="14"/>
      <c r="U47" s="14"/>
    </row>
    <row r="48" spans="1:23" hidden="1" x14ac:dyDescent="0.25">
      <c r="A48" s="7" t="s">
        <v>25</v>
      </c>
      <c r="B48" s="104">
        <v>50</v>
      </c>
      <c r="C48" s="34" t="s">
        <v>62</v>
      </c>
      <c r="D48" s="105">
        <v>0.9</v>
      </c>
      <c r="E48" s="102" t="s">
        <v>46</v>
      </c>
      <c r="F48" s="84"/>
      <c r="G48" s="84"/>
      <c r="H48" s="103" t="s">
        <v>68</v>
      </c>
      <c r="I48" s="43">
        <f>B49</f>
        <v>50</v>
      </c>
      <c r="J48" s="178">
        <f>I48*L48*B70/3600</f>
        <v>0.2951388888888889</v>
      </c>
      <c r="K48" s="178"/>
      <c r="L48" s="48">
        <f>D49</f>
        <v>0.85</v>
      </c>
      <c r="N48" s="13"/>
      <c r="R48" s="14" t="s">
        <v>29</v>
      </c>
      <c r="S48" s="14">
        <v>0.4</v>
      </c>
      <c r="T48" s="14"/>
      <c r="U48" s="14"/>
    </row>
    <row r="49" spans="1:21" hidden="1" x14ac:dyDescent="0.25">
      <c r="A49" s="7" t="s">
        <v>26</v>
      </c>
      <c r="B49" s="104">
        <v>50</v>
      </c>
      <c r="C49" s="34" t="s">
        <v>62</v>
      </c>
      <c r="D49" s="106">
        <v>0.85</v>
      </c>
      <c r="E49" s="102" t="s">
        <v>44</v>
      </c>
      <c r="F49" s="84"/>
      <c r="G49" s="84"/>
      <c r="H49" s="103" t="s">
        <v>69</v>
      </c>
      <c r="I49" s="43">
        <f>B50</f>
        <v>480</v>
      </c>
      <c r="J49" s="178">
        <f>I49*L49*B70/3600</f>
        <v>1.3333333333333333</v>
      </c>
      <c r="K49" s="178"/>
      <c r="L49" s="48">
        <f>D50</f>
        <v>0.4</v>
      </c>
      <c r="N49" s="13"/>
      <c r="R49" s="14" t="s">
        <v>30</v>
      </c>
      <c r="S49" s="14">
        <v>0.2</v>
      </c>
      <c r="T49" s="14"/>
      <c r="U49" s="14"/>
    </row>
    <row r="50" spans="1:21" hidden="1" x14ac:dyDescent="0.25">
      <c r="A50" s="7" t="s">
        <v>27</v>
      </c>
      <c r="B50" s="104">
        <v>480</v>
      </c>
      <c r="C50" s="34" t="s">
        <v>62</v>
      </c>
      <c r="D50" s="105">
        <f>(IF($B$46=$R$48,$S$48,(IF($B$46=R49,S49,0))))</f>
        <v>0.4</v>
      </c>
      <c r="E50" s="102" t="s">
        <v>45</v>
      </c>
      <c r="F50" s="84"/>
      <c r="G50" s="84"/>
      <c r="H50" s="107" t="s">
        <v>74</v>
      </c>
      <c r="I50" s="44">
        <f>I47+I48</f>
        <v>100</v>
      </c>
      <c r="J50" s="184">
        <f>SUM(J47:K49)</f>
        <v>1.9409722222222221</v>
      </c>
      <c r="K50" s="184"/>
      <c r="L50" s="49"/>
      <c r="N50" s="13"/>
      <c r="R50" s="14"/>
      <c r="S50" s="14"/>
      <c r="T50" s="14"/>
      <c r="U50" s="14"/>
    </row>
    <row r="51" spans="1:21" hidden="1" x14ac:dyDescent="0.25">
      <c r="A51" s="7" t="s">
        <v>55</v>
      </c>
      <c r="B51" s="108">
        <f>SUM(B48:B50)</f>
        <v>580</v>
      </c>
      <c r="C51" s="34" t="s">
        <v>62</v>
      </c>
      <c r="D51" s="109">
        <f>IF(B51&gt;0,(B48*D48+B49*D49+B50*D50)/B51,0)</f>
        <v>0.48189655172413792</v>
      </c>
      <c r="E51" s="102"/>
      <c r="F51" s="84"/>
      <c r="G51" s="84"/>
      <c r="H51" s="45"/>
      <c r="I51" s="45"/>
      <c r="J51" s="185"/>
      <c r="K51" s="185"/>
      <c r="L51" s="50"/>
      <c r="N51" s="13"/>
      <c r="R51" s="14" t="s">
        <v>0</v>
      </c>
      <c r="S51" s="14"/>
      <c r="T51" s="14"/>
      <c r="U51" s="14"/>
    </row>
    <row r="52" spans="1:21" ht="15.75" hidden="1" thickBot="1" x14ac:dyDescent="0.3">
      <c r="A52" s="4" t="s">
        <v>59</v>
      </c>
      <c r="B52" s="84"/>
      <c r="C52" s="84"/>
      <c r="D52" s="84"/>
      <c r="E52" s="84"/>
      <c r="F52" s="84"/>
      <c r="G52" s="84"/>
      <c r="H52" s="103"/>
      <c r="I52" s="43"/>
      <c r="J52" s="182"/>
      <c r="K52" s="182"/>
      <c r="L52" s="51"/>
      <c r="N52" s="13"/>
      <c r="R52" s="14" t="s">
        <v>12</v>
      </c>
      <c r="S52" s="14"/>
      <c r="T52" s="14"/>
      <c r="U52" s="14"/>
    </row>
    <row r="53" spans="1:21" hidden="1" x14ac:dyDescent="0.25">
      <c r="A53" s="31" t="s">
        <v>61</v>
      </c>
      <c r="B53" s="84"/>
      <c r="C53" s="84"/>
      <c r="D53" s="84"/>
      <c r="E53" s="84"/>
      <c r="F53" s="84"/>
      <c r="G53" s="84"/>
      <c r="H53" s="84"/>
      <c r="I53" s="84"/>
      <c r="J53" s="179"/>
      <c r="K53" s="179"/>
      <c r="L53" s="13"/>
      <c r="N53" s="13"/>
      <c r="R53" s="14" t="s">
        <v>16</v>
      </c>
      <c r="S53" s="14"/>
      <c r="T53" s="14"/>
      <c r="U53" s="14"/>
    </row>
    <row r="54" spans="1:21" ht="15.75" hidden="1" x14ac:dyDescent="0.25">
      <c r="A54" s="7" t="s">
        <v>25</v>
      </c>
      <c r="B54" s="104">
        <v>200</v>
      </c>
      <c r="C54" s="34" t="s">
        <v>62</v>
      </c>
      <c r="D54" s="105">
        <v>0.9</v>
      </c>
      <c r="E54" s="110" t="s">
        <v>66</v>
      </c>
      <c r="F54" s="84"/>
      <c r="G54" s="84"/>
      <c r="H54" s="40"/>
      <c r="I54" s="41"/>
      <c r="J54" s="180"/>
      <c r="K54" s="180"/>
      <c r="L54" s="42"/>
      <c r="N54" s="13"/>
      <c r="R54" s="14" t="s">
        <v>63</v>
      </c>
      <c r="S54" s="14"/>
      <c r="T54" s="14"/>
      <c r="U54" s="14"/>
    </row>
    <row r="55" spans="1:21" ht="17.25" hidden="1" customHeight="1" x14ac:dyDescent="0.25">
      <c r="A55" s="7" t="s">
        <v>26</v>
      </c>
      <c r="B55" s="104">
        <v>0</v>
      </c>
      <c r="C55" s="34" t="s">
        <v>62</v>
      </c>
      <c r="D55" s="106">
        <v>0.85</v>
      </c>
      <c r="E55" s="102" t="s">
        <v>44</v>
      </c>
      <c r="F55" s="84"/>
      <c r="G55" s="84"/>
      <c r="H55" s="111" t="s">
        <v>52</v>
      </c>
      <c r="I55" s="112" t="s">
        <v>36</v>
      </c>
      <c r="J55" s="183" t="s">
        <v>56</v>
      </c>
      <c r="K55" s="183"/>
      <c r="L55" s="52" t="s">
        <v>37</v>
      </c>
      <c r="N55" s="13"/>
      <c r="R55" s="14"/>
      <c r="S55" s="14"/>
      <c r="T55" s="14"/>
      <c r="U55" s="14"/>
    </row>
    <row r="56" spans="1:21" hidden="1" x14ac:dyDescent="0.25">
      <c r="A56" s="7" t="s">
        <v>27</v>
      </c>
      <c r="B56" s="104">
        <v>0</v>
      </c>
      <c r="C56" s="34" t="s">
        <v>62</v>
      </c>
      <c r="D56" s="105">
        <f>(IF($B$46=$R$48,$S$48,(IF($B$46=R49,S49,0))))</f>
        <v>0.4</v>
      </c>
      <c r="E56" s="102" t="s">
        <v>45</v>
      </c>
      <c r="F56" s="84"/>
      <c r="G56" s="84"/>
      <c r="H56" s="113" t="s">
        <v>67</v>
      </c>
      <c r="I56" s="56">
        <f>B54+B59</f>
        <v>200</v>
      </c>
      <c r="J56" s="178">
        <f>I56*L56*B$71/3600</f>
        <v>1.25</v>
      </c>
      <c r="K56" s="178"/>
      <c r="L56" s="48">
        <f>D54</f>
        <v>0.9</v>
      </c>
      <c r="N56" s="13"/>
      <c r="S56" s="14"/>
      <c r="T56" s="14"/>
      <c r="U56" s="14"/>
    </row>
    <row r="57" spans="1:21" ht="15.75" hidden="1" customHeight="1" x14ac:dyDescent="0.25">
      <c r="A57" s="32" t="s">
        <v>55</v>
      </c>
      <c r="B57" s="108">
        <f>SUM(B54:B56)</f>
        <v>200</v>
      </c>
      <c r="C57" s="34" t="s">
        <v>62</v>
      </c>
      <c r="D57" s="109">
        <f>IF(B57&gt;0,(B54*D54+B55*D55+B56*D56)/B57,0)</f>
        <v>0.9</v>
      </c>
      <c r="E57" s="102"/>
      <c r="F57" s="84"/>
      <c r="G57" s="84"/>
      <c r="H57" s="113" t="s">
        <v>68</v>
      </c>
      <c r="I57" s="56">
        <f>B60</f>
        <v>200</v>
      </c>
      <c r="J57" s="178">
        <f>I57*L57*B$71/3600</f>
        <v>1.1805555555555556</v>
      </c>
      <c r="K57" s="178"/>
      <c r="L57" s="48">
        <f>D55</f>
        <v>0.85</v>
      </c>
      <c r="N57" s="13"/>
      <c r="O57" s="13"/>
      <c r="S57" s="16"/>
      <c r="T57" s="14"/>
      <c r="U57" s="14"/>
    </row>
    <row r="58" spans="1:21" ht="15" hidden="1" customHeight="1" x14ac:dyDescent="0.25">
      <c r="A58" s="22" t="s">
        <v>60</v>
      </c>
      <c r="B58" s="84"/>
      <c r="C58" s="84"/>
      <c r="D58" s="114"/>
      <c r="E58" s="102"/>
      <c r="F58" s="84"/>
      <c r="G58" s="84"/>
      <c r="H58" s="113" t="s">
        <v>69</v>
      </c>
      <c r="I58" s="56">
        <f>B61</f>
        <v>180</v>
      </c>
      <c r="J58" s="178">
        <f>I58*L58*B$71/3600</f>
        <v>0.5</v>
      </c>
      <c r="K58" s="178"/>
      <c r="L58" s="48">
        <f>D56</f>
        <v>0.4</v>
      </c>
      <c r="N58" s="13"/>
      <c r="S58" s="16"/>
      <c r="T58" s="14"/>
      <c r="U58" s="14"/>
    </row>
    <row r="59" spans="1:21" hidden="1" x14ac:dyDescent="0.25">
      <c r="A59" s="7" t="s">
        <v>25</v>
      </c>
      <c r="B59" s="104">
        <v>0</v>
      </c>
      <c r="C59" s="34" t="s">
        <v>62</v>
      </c>
      <c r="D59" s="105">
        <v>0.9</v>
      </c>
      <c r="E59" s="102"/>
      <c r="F59" s="84"/>
      <c r="G59" s="84"/>
      <c r="H59" s="115" t="s">
        <v>70</v>
      </c>
      <c r="I59" s="57">
        <f>I56+I57</f>
        <v>400</v>
      </c>
      <c r="J59" s="184">
        <f>SUM(J56:K58)</f>
        <v>2.9305555555555554</v>
      </c>
      <c r="K59" s="184"/>
      <c r="L59" s="53"/>
      <c r="N59" s="13"/>
      <c r="Q59" s="14"/>
      <c r="S59" s="14"/>
      <c r="T59" s="14"/>
      <c r="U59" s="14"/>
    </row>
    <row r="60" spans="1:21" hidden="1" x14ac:dyDescent="0.25">
      <c r="A60" s="7" t="s">
        <v>26</v>
      </c>
      <c r="B60" s="104">
        <v>200</v>
      </c>
      <c r="C60" s="34" t="s">
        <v>62</v>
      </c>
      <c r="D60" s="106">
        <v>0.85</v>
      </c>
      <c r="E60" s="102"/>
      <c r="F60" s="84"/>
      <c r="G60" s="84"/>
      <c r="H60" s="85"/>
      <c r="I60" s="58"/>
      <c r="J60" s="185"/>
      <c r="K60" s="185"/>
      <c r="L60" s="54"/>
      <c r="N60" s="13"/>
      <c r="Q60" s="14"/>
      <c r="R60" s="14"/>
      <c r="S60" s="14"/>
      <c r="T60" s="14"/>
      <c r="U60" s="14"/>
    </row>
    <row r="61" spans="1:21" hidden="1" x14ac:dyDescent="0.25">
      <c r="A61" s="7" t="s">
        <v>27</v>
      </c>
      <c r="B61" s="104">
        <v>180</v>
      </c>
      <c r="C61" s="34" t="s">
        <v>62</v>
      </c>
      <c r="D61" s="105">
        <f>(IF($B$46=$R$48,$S$48,(IF($B$46=R54,S54,0))))</f>
        <v>0.4</v>
      </c>
      <c r="E61" s="102"/>
      <c r="F61" s="84"/>
      <c r="G61" s="84"/>
      <c r="H61" s="116"/>
      <c r="I61" s="57"/>
      <c r="J61" s="178"/>
      <c r="K61" s="178"/>
      <c r="L61" s="55"/>
      <c r="N61" s="13"/>
      <c r="Q61" s="14"/>
      <c r="R61" s="14"/>
      <c r="S61" s="14"/>
      <c r="T61" s="14"/>
      <c r="U61" s="14"/>
    </row>
    <row r="62" spans="1:21" hidden="1" x14ac:dyDescent="0.25">
      <c r="A62" s="7" t="s">
        <v>55</v>
      </c>
      <c r="B62" s="108">
        <f>SUM(B59:B61)</f>
        <v>380</v>
      </c>
      <c r="C62" s="34" t="s">
        <v>62</v>
      </c>
      <c r="D62" s="109">
        <f>IF(B62&gt;0,(B59*D59+B60*D60+B61*D61)/B62,0)</f>
        <v>0.63684210526315788</v>
      </c>
      <c r="E62" s="102"/>
      <c r="F62" s="84"/>
      <c r="G62" s="84"/>
      <c r="H62" s="116"/>
      <c r="I62" s="57"/>
      <c r="J62" s="178"/>
      <c r="K62" s="178"/>
      <c r="L62" s="55"/>
      <c r="M62" s="13"/>
      <c r="N62" s="13"/>
      <c r="Q62" s="14"/>
      <c r="R62" s="14"/>
      <c r="S62" s="14"/>
      <c r="T62" s="14"/>
      <c r="U62" s="14"/>
    </row>
    <row r="63" spans="1:21" hidden="1" x14ac:dyDescent="0.25">
      <c r="B63" s="177" t="str">
        <f>IF(B57+B62&lt;&gt;B51,"Error: areas do not add up","")</f>
        <v/>
      </c>
      <c r="C63" s="177"/>
      <c r="D63" s="177"/>
      <c r="E63" s="84"/>
      <c r="F63" s="84"/>
      <c r="G63" s="84"/>
      <c r="H63" s="116" t="s">
        <v>35</v>
      </c>
      <c r="I63" s="57">
        <f>B50+B49+B48</f>
        <v>580</v>
      </c>
      <c r="J63" s="182">
        <f>$I$63*$L$63*$B$70/3600</f>
        <v>1.9409722222222223</v>
      </c>
      <c r="K63" s="182"/>
      <c r="L63" s="51">
        <f>D51</f>
        <v>0.48189655172413792</v>
      </c>
      <c r="R63" s="14"/>
      <c r="T63" s="16"/>
      <c r="U63" s="16"/>
    </row>
    <row r="64" spans="1:21" hidden="1" x14ac:dyDescent="0.25">
      <c r="B64" s="84"/>
      <c r="C64" s="84"/>
      <c r="D64" s="84"/>
      <c r="E64" s="84"/>
      <c r="F64" s="84"/>
      <c r="G64" s="84"/>
      <c r="H64" s="84"/>
      <c r="I64" s="84"/>
      <c r="M64" s="9"/>
      <c r="T64" s="16"/>
      <c r="U64" s="16"/>
    </row>
    <row r="65" spans="1:27" ht="18" hidden="1" thickBot="1" x14ac:dyDescent="0.35">
      <c r="A65" s="36" t="s">
        <v>51</v>
      </c>
      <c r="B65" s="24"/>
      <c r="C65" s="24"/>
      <c r="D65" s="84"/>
      <c r="E65" s="84"/>
      <c r="F65" s="84"/>
      <c r="G65" s="84"/>
      <c r="H65" s="44" t="s">
        <v>71</v>
      </c>
      <c r="I65" s="44"/>
      <c r="J65" s="59">
        <f>J59-J50</f>
        <v>0.98958333333333326</v>
      </c>
      <c r="K65" s="60" t="s">
        <v>53</v>
      </c>
      <c r="L65" s="61"/>
      <c r="S65" s="30"/>
      <c r="T65" s="16"/>
      <c r="U65" s="16"/>
    </row>
    <row r="66" spans="1:27" hidden="1" x14ac:dyDescent="0.25">
      <c r="A66" s="6" t="s">
        <v>1</v>
      </c>
      <c r="B66" s="117">
        <v>10</v>
      </c>
      <c r="C66" s="34" t="s">
        <v>50</v>
      </c>
      <c r="D66" s="176" t="s">
        <v>49</v>
      </c>
      <c r="E66" s="176"/>
      <c r="F66" s="176"/>
      <c r="G66" s="176"/>
      <c r="H66" s="44" t="s">
        <v>72</v>
      </c>
      <c r="I66" s="84"/>
      <c r="J66" s="62">
        <f>J65-J56</f>
        <v>-0.26041666666666674</v>
      </c>
      <c r="K66" s="63" t="s">
        <v>53</v>
      </c>
      <c r="L66" s="64"/>
      <c r="S66" s="30"/>
      <c r="T66" s="16"/>
      <c r="U66" s="16"/>
    </row>
    <row r="67" spans="1:27" hidden="1" x14ac:dyDescent="0.25">
      <c r="A67" s="6" t="s">
        <v>54</v>
      </c>
      <c r="B67" s="117" t="s">
        <v>5</v>
      </c>
      <c r="C67" s="118"/>
      <c r="D67" s="176"/>
      <c r="E67" s="176"/>
      <c r="F67" s="176"/>
      <c r="G67" s="176"/>
      <c r="H67" s="84"/>
      <c r="I67" s="84"/>
      <c r="S67" s="30"/>
      <c r="T67" s="16"/>
      <c r="U67" s="16"/>
    </row>
    <row r="68" spans="1:27" hidden="1" x14ac:dyDescent="0.25">
      <c r="B68" s="84"/>
      <c r="C68" s="84"/>
      <c r="D68" s="119"/>
      <c r="E68" s="119"/>
      <c r="F68" s="84"/>
      <c r="G68" s="84"/>
      <c r="H68" s="84"/>
      <c r="I68" s="84"/>
      <c r="R68" s="23"/>
      <c r="S68" s="30"/>
      <c r="T68" s="14"/>
      <c r="U68" s="16"/>
    </row>
    <row r="69" spans="1:27" ht="15.75" hidden="1" thickBot="1" x14ac:dyDescent="0.3">
      <c r="A69" s="4" t="s">
        <v>31</v>
      </c>
      <c r="B69" s="84"/>
      <c r="C69" s="84"/>
      <c r="D69" s="84"/>
      <c r="E69" s="84"/>
      <c r="F69" s="84"/>
      <c r="G69" s="84"/>
      <c r="H69" s="84"/>
      <c r="I69" s="84"/>
      <c r="R69" s="14"/>
      <c r="S69" s="14"/>
      <c r="T69" s="14"/>
      <c r="U69" s="16"/>
    </row>
    <row r="70" spans="1:27" hidden="1" x14ac:dyDescent="0.25">
      <c r="A70" s="7" t="s">
        <v>32</v>
      </c>
      <c r="B70" s="120">
        <f>IF($B$45=$R$51,VLOOKUP($B$66,'Rainfall Data'!$M$2:$W$8,MATCH($B$67,'Rainfall Data'!$M$2:$W$2,0),0),(IF($B$45=$R$52,VLOOKUP($B$66,'Rainfall Data'!$M$20:$W$26,MATCH($B$67,'Rainfall Data'!$M$20:$W$20,0),0),IF($B$45=$R$53,VLOOKUP($B$66,'Rainfall Data'!$M$38:$W$44,MATCH($B$67,'Rainfall Data'!$M$38:$W$38,0),0),(IF($B$45=$R$54,VLOOKUP($B$66,'Rainfall Data'!$M$56:$W$62,MATCH($B$67,'Rainfall Data'!$M$56:$W$56,0),0),0))))))</f>
        <v>25</v>
      </c>
      <c r="C70" s="34" t="s">
        <v>48</v>
      </c>
      <c r="D70" s="84"/>
      <c r="E70" s="84"/>
      <c r="F70" s="84"/>
      <c r="G70" s="84"/>
      <c r="H70" s="84"/>
      <c r="I70" s="84"/>
      <c r="N70" s="14"/>
      <c r="R70" s="14"/>
      <c r="S70" s="14"/>
      <c r="T70" s="14"/>
      <c r="U70" s="16"/>
    </row>
    <row r="71" spans="1:27" hidden="1" x14ac:dyDescent="0.25">
      <c r="A71" s="7" t="s">
        <v>33</v>
      </c>
      <c r="B71" s="120">
        <f>IF($B$45=$R$51,VLOOKUP($B$66,'Rainfall Data'!$M$11:$W$17,MATCH($B$67,'Rainfall Data'!$M$11:$W$11,0),0),(IF($B$45=$R$52,VLOOKUP($B$66,'Rainfall Data'!$M$29:$W$35,MATCH($B$67,'Rainfall Data'!$M$29:$W$29,0),0),IF($B$45=$R$53,VLOOKUP($B$66,'Rainfall Data'!$M$47:$W$53,MATCH($B$67,'Rainfall Data'!$M$47:$W$47,0),0),(IF($B$45=$R$54,VLOOKUP($B$66,'Rainfall Data'!$M$65:$W$71,MATCH($B$67,'Rainfall Data'!$M$65:$W$65,0),0),0))))))</f>
        <v>25</v>
      </c>
      <c r="C71" s="34" t="s">
        <v>48</v>
      </c>
      <c r="D71" s="84"/>
      <c r="E71" s="84"/>
      <c r="F71" s="84"/>
      <c r="G71" s="84"/>
      <c r="H71" s="84"/>
      <c r="I71" s="84"/>
      <c r="N71" s="14"/>
      <c r="R71" s="14"/>
      <c r="S71" s="14"/>
      <c r="T71" s="14"/>
    </row>
    <row r="72" spans="1:27" hidden="1" x14ac:dyDescent="0.25">
      <c r="B72" s="84"/>
      <c r="C72" s="84"/>
      <c r="D72" s="84"/>
      <c r="E72" s="84"/>
      <c r="F72" s="84"/>
      <c r="G72" s="84"/>
      <c r="H72" s="84"/>
      <c r="I72" s="84"/>
      <c r="N72" s="14"/>
      <c r="R72" s="14"/>
      <c r="S72" s="14"/>
      <c r="T72" s="14"/>
    </row>
    <row r="73" spans="1:27" hidden="1" x14ac:dyDescent="0.25">
      <c r="B73" s="84"/>
      <c r="C73" s="84"/>
      <c r="D73" s="84"/>
      <c r="E73" s="84"/>
      <c r="F73" s="84"/>
      <c r="G73" s="84"/>
      <c r="H73" s="84"/>
      <c r="I73" s="84"/>
      <c r="N73" s="14"/>
      <c r="S73" s="14"/>
      <c r="T73" s="14"/>
    </row>
    <row r="74" spans="1:27" hidden="1" x14ac:dyDescent="0.25">
      <c r="B74" s="84"/>
      <c r="C74" s="84"/>
      <c r="D74" s="84"/>
      <c r="E74" s="84"/>
      <c r="F74" s="84"/>
      <c r="G74" s="84"/>
      <c r="H74" s="84"/>
      <c r="I74" s="84"/>
    </row>
    <row r="75" spans="1:27" ht="15.75" hidden="1" customHeight="1" x14ac:dyDescent="0.25">
      <c r="B75" s="84"/>
      <c r="C75" s="84"/>
      <c r="D75" s="84"/>
      <c r="E75" s="84"/>
      <c r="F75" s="84"/>
      <c r="G75" s="84"/>
      <c r="H75" s="84"/>
      <c r="I75" s="84"/>
      <c r="N75" s="8"/>
      <c r="S75" s="14"/>
      <c r="T75" s="14"/>
      <c r="Z75" s="13"/>
      <c r="AA75" s="13"/>
    </row>
    <row r="76" spans="1:27" ht="15" hidden="1" customHeight="1" x14ac:dyDescent="0.25">
      <c r="B76" s="84"/>
      <c r="C76" s="84"/>
      <c r="D76" s="84"/>
      <c r="E76" s="84"/>
      <c r="F76" s="84"/>
      <c r="G76" s="84"/>
      <c r="H76" s="84"/>
      <c r="I76" s="84"/>
      <c r="N76" s="13"/>
      <c r="S76" s="14"/>
      <c r="T76" s="14"/>
      <c r="Z76" s="13"/>
      <c r="AA76" s="13"/>
    </row>
    <row r="77" spans="1:27" hidden="1" x14ac:dyDescent="0.25">
      <c r="B77" s="84"/>
      <c r="C77" s="84"/>
      <c r="D77" s="84"/>
      <c r="E77" s="84"/>
      <c r="F77" s="84"/>
      <c r="G77" s="84"/>
      <c r="H77" s="84"/>
      <c r="I77" s="84"/>
      <c r="L77" s="8"/>
      <c r="M77" s="10"/>
      <c r="N77" s="13"/>
      <c r="Z77" s="13"/>
      <c r="AA77" s="13"/>
    </row>
    <row r="78" spans="1:27" hidden="1" x14ac:dyDescent="0.25">
      <c r="B78" s="84"/>
      <c r="C78" s="84"/>
      <c r="D78" s="84"/>
      <c r="E78" s="84"/>
      <c r="F78" s="84"/>
      <c r="G78" s="84"/>
      <c r="H78" s="84"/>
      <c r="I78" s="84"/>
      <c r="J78" s="13"/>
      <c r="K78" s="13"/>
      <c r="L78" s="13"/>
      <c r="M78" s="13"/>
      <c r="N78" s="13"/>
      <c r="Z78" s="13"/>
      <c r="AA78" s="13"/>
    </row>
    <row r="79" spans="1:27" hidden="1" x14ac:dyDescent="0.25">
      <c r="B79" s="84"/>
      <c r="C79" s="84"/>
      <c r="D79" s="84"/>
      <c r="E79" s="84"/>
      <c r="F79" s="84"/>
      <c r="G79" s="84"/>
      <c r="H79" s="84"/>
      <c r="I79" s="84"/>
      <c r="J79" s="13"/>
      <c r="K79" s="13"/>
      <c r="L79" s="13"/>
      <c r="M79" s="13"/>
      <c r="N79" s="13"/>
      <c r="O79" s="13"/>
      <c r="P79" s="13"/>
      <c r="Q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idden="1" x14ac:dyDescent="0.25">
      <c r="B80" s="84"/>
      <c r="C80" s="84"/>
      <c r="D80" s="84"/>
      <c r="E80" s="84"/>
      <c r="F80" s="84"/>
      <c r="G80" s="84"/>
      <c r="H80" s="84"/>
      <c r="I80" s="84"/>
      <c r="J80" s="13"/>
      <c r="K80" s="13"/>
      <c r="L80" s="13"/>
      <c r="M80" s="13"/>
      <c r="R80" s="13"/>
    </row>
    <row r="81" spans="1:32" hidden="1" x14ac:dyDescent="0.25">
      <c r="B81" s="84"/>
      <c r="C81" s="84"/>
      <c r="D81" s="84"/>
      <c r="E81" s="84"/>
      <c r="F81" s="84"/>
      <c r="G81" s="84"/>
      <c r="H81" s="84"/>
      <c r="I81" s="84"/>
      <c r="J81" s="13"/>
      <c r="K81" s="13"/>
      <c r="L81" s="13"/>
      <c r="M81" s="13"/>
      <c r="N81" s="13"/>
      <c r="Z81" s="13"/>
      <c r="AA81" s="13"/>
    </row>
    <row r="82" spans="1:32" hidden="1" x14ac:dyDescent="0.25">
      <c r="B82" s="84"/>
      <c r="C82" s="84"/>
      <c r="D82" s="84"/>
      <c r="E82" s="84"/>
      <c r="F82" s="84"/>
      <c r="G82" s="84"/>
      <c r="H82" s="84"/>
      <c r="I82" s="84"/>
    </row>
    <row r="83" spans="1:32" hidden="1" x14ac:dyDescent="0.25">
      <c r="B83" s="84"/>
      <c r="C83" s="84"/>
      <c r="D83" s="84"/>
      <c r="E83" s="84"/>
      <c r="F83" s="84"/>
      <c r="G83" s="84"/>
      <c r="H83" s="84"/>
      <c r="I83" s="84"/>
      <c r="J83" s="13"/>
      <c r="K83" s="13"/>
      <c r="L83" s="13"/>
      <c r="M83" s="13"/>
    </row>
    <row r="84" spans="1:32" hidden="1" x14ac:dyDescent="0.25">
      <c r="A84" s="14"/>
      <c r="B84" s="21"/>
      <c r="C84" s="21"/>
      <c r="D84" s="21"/>
      <c r="E84" s="21"/>
      <c r="F84" s="21"/>
      <c r="G84" s="21"/>
      <c r="H84" s="84"/>
      <c r="I84" s="8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hidden="1" x14ac:dyDescent="0.25">
      <c r="A85" s="14"/>
      <c r="B85" s="21"/>
      <c r="C85" s="21"/>
      <c r="D85" s="21"/>
      <c r="E85" s="21"/>
      <c r="F85" s="21"/>
      <c r="G85" s="21"/>
      <c r="H85" s="84"/>
      <c r="I85" s="84"/>
      <c r="J85" s="13"/>
      <c r="K85" s="13"/>
      <c r="L85" s="13"/>
      <c r="M85" s="13"/>
      <c r="N85" s="13"/>
      <c r="O85" s="13"/>
      <c r="P85" s="13"/>
      <c r="Q85" s="13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hidden="1" x14ac:dyDescent="0.25">
      <c r="B86" s="84"/>
      <c r="C86" s="84"/>
      <c r="D86" s="84"/>
      <c r="E86" s="84"/>
      <c r="F86" s="84"/>
      <c r="G86" s="84"/>
      <c r="H86" s="84"/>
      <c r="I86" s="121" t="str">
        <f>IF($B$45=$R$51,'Rainfall Data'!M1,IF($B$45=$R$52,'Rainfall Data'!M19,IF($B$45=$R$53,'Rainfall Data'!M37, IF($B$45=$R$54, 'Rainfall Data'!M55))))</f>
        <v>Timaru</v>
      </c>
      <c r="J86" s="17" t="str">
        <f>IF($B$45=$R$51,'Rainfall Data'!N1,IF($B$45=$R$52,'Rainfall Data'!N19,IF($B$45=$R$53,'Rainfall Data'!N37, IF($B$45=$R$54, 'Rainfall Data'!N55))))</f>
        <v>Design Rainfalls for Timaru under current climate conditions (in mm/hr)</v>
      </c>
      <c r="K86" s="17"/>
      <c r="L86" s="17"/>
      <c r="M86" s="17"/>
      <c r="N86" s="17"/>
      <c r="O86" s="17"/>
      <c r="P86" s="17"/>
      <c r="Q86" s="17"/>
      <c r="R86" s="13"/>
      <c r="S86" s="17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hidden="1" x14ac:dyDescent="0.25">
      <c r="B87" s="84"/>
      <c r="C87" s="84"/>
      <c r="D87" s="84"/>
      <c r="E87" s="84"/>
      <c r="F87" s="84"/>
      <c r="G87" s="84"/>
      <c r="H87" s="84"/>
      <c r="I87" s="122" t="s">
        <v>1</v>
      </c>
      <c r="J87" s="26" t="s">
        <v>2</v>
      </c>
      <c r="K87" s="26" t="s">
        <v>3</v>
      </c>
      <c r="L87" s="26" t="s">
        <v>4</v>
      </c>
      <c r="M87" s="26" t="s">
        <v>5</v>
      </c>
      <c r="N87" s="26" t="s">
        <v>6</v>
      </c>
      <c r="O87" s="26" t="s">
        <v>7</v>
      </c>
      <c r="P87" s="26" t="s">
        <v>8</v>
      </c>
      <c r="Q87" s="26" t="s">
        <v>9</v>
      </c>
      <c r="R87" s="26" t="s">
        <v>10</v>
      </c>
      <c r="S87" s="26" t="s">
        <v>11</v>
      </c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hidden="1" x14ac:dyDescent="0.25">
      <c r="B88" s="84"/>
      <c r="C88" s="84"/>
      <c r="D88" s="84"/>
      <c r="E88" s="84"/>
      <c r="F88" s="84"/>
      <c r="G88" s="84"/>
      <c r="H88" s="84"/>
      <c r="I88" s="123">
        <v>2.33</v>
      </c>
      <c r="J88" s="29">
        <f>IF($B$45=$R$51,'Rainfall Data'!N3,IF($B$45=$R$52,'Rainfall Data'!N21,IF($B$45=$R$53,'Rainfall Data'!N39,IF($B$45=$R$54, 'Rainfall Data'!N57))))</f>
        <v>30</v>
      </c>
      <c r="K88" s="29">
        <f>IF($B$45=$R$51,'Rainfall Data'!O3,IF($B$45=$R$52,'Rainfall Data'!O21,IF($B$45=$R$53,'Rainfall Data'!O39,IF($B$45=$R$54, 'Rainfall Data'!O57))))</f>
        <v>21</v>
      </c>
      <c r="L88" s="29">
        <f>IF($B$45=$R$51,'Rainfall Data'!P3,IF($B$45=$R$52,'Rainfall Data'!P21,IF($B$45=$R$53,'Rainfall Data'!P39,IF($B$45=$R$54, 'Rainfall Data'!P57))))</f>
        <v>16</v>
      </c>
      <c r="M88" s="29">
        <f>IF($B$45=$R$51,'Rainfall Data'!Q3,IF($B$45=$R$52,'Rainfall Data'!Q21,IF($B$45=$R$53,'Rainfall Data'!Q39,IF($B$45=$R$54, 'Rainfall Data'!Q57))))</f>
        <v>11</v>
      </c>
      <c r="N88" s="29">
        <f>IF($B$45=$R$51,'Rainfall Data'!R3,IF($B$45=$R$52,'Rainfall Data'!R21,IF($B$45=$R$53,'Rainfall Data'!R39,IF($B$45=$R$54, 'Rainfall Data'!R57))))</f>
        <v>8</v>
      </c>
      <c r="O88" s="29">
        <f>IF($B$45=$R$51,'Rainfall Data'!S3,IF($B$45=$R$52,'Rainfall Data'!S21,IF($B$45=$R$53,'Rainfall Data'!S39,IF($B$45=$R$54, 'Rainfall Data'!S57))))</f>
        <v>4.833333333333333</v>
      </c>
      <c r="P88" s="29">
        <f>IF($B$45=$R$51,'Rainfall Data'!T3,IF($B$45=$R$52,'Rainfall Data'!T21,IF($B$45=$R$53,'Rainfall Data'!T39,IF($B$45=$R$54, 'Rainfall Data'!T57))))</f>
        <v>3.1666666666666665</v>
      </c>
      <c r="Q88" s="29">
        <f>IF($B$45=$R$51,'Rainfall Data'!U3,IF($B$45=$R$52,'Rainfall Data'!U21,IF($B$45=$R$53,'Rainfall Data'!U39,IF($B$45=$R$54, 'Rainfall Data'!U57))))</f>
        <v>2.3333333333333335</v>
      </c>
      <c r="R88" s="29">
        <f>IF($B$45=$R$51,'Rainfall Data'!V3,IF($B$45=$R$52,'Rainfall Data'!V21,IF($B$45=$R$53,'Rainfall Data'!V39,IF($B$45=$R$54, 'Rainfall Data'!V57))))</f>
        <v>1.5416666666666667</v>
      </c>
      <c r="S88" s="29">
        <f>IF($B$45=$R$51,'Rainfall Data'!W3,IF($B$45=$R$52,'Rainfall Data'!W21,IF($B$45=$R$53,'Rainfall Data'!W39,IF($B$45=$R$54, 'Rainfall Data'!W57))))</f>
        <v>1.1111111111111112</v>
      </c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hidden="1" x14ac:dyDescent="0.25">
      <c r="B89" s="84"/>
      <c r="C89" s="84"/>
      <c r="D89" s="84"/>
      <c r="E89" s="84"/>
      <c r="F89" s="84"/>
      <c r="G89" s="84"/>
      <c r="H89" s="84"/>
      <c r="I89" s="123">
        <v>5</v>
      </c>
      <c r="J89" s="29">
        <f>IF($B$45=$R$51,'Rainfall Data'!N4,IF($B$45=$R$52,'Rainfall Data'!N22,IF($B$45=$R$53,'Rainfall Data'!N40,IF($B$45=$R$54, 'Rainfall Data'!N58))))</f>
        <v>48</v>
      </c>
      <c r="K89" s="29">
        <f>IF($B$45=$R$51,'Rainfall Data'!O4,IF($B$45=$R$52,'Rainfall Data'!O22,IF($B$45=$R$53,'Rainfall Data'!O40,IF($B$45=$R$54, 'Rainfall Data'!O58))))</f>
        <v>36</v>
      </c>
      <c r="L89" s="29">
        <f>IF($B$45=$R$51,'Rainfall Data'!P4,IF($B$45=$R$52,'Rainfall Data'!P22,IF($B$45=$R$53,'Rainfall Data'!P40,IF($B$45=$R$54, 'Rainfall Data'!P58))))</f>
        <v>28</v>
      </c>
      <c r="M89" s="29">
        <f>IF($B$45=$R$51,'Rainfall Data'!Q4,IF($B$45=$R$52,'Rainfall Data'!Q22,IF($B$45=$R$53,'Rainfall Data'!Q40,IF($B$45=$R$54, 'Rainfall Data'!Q58))))</f>
        <v>18</v>
      </c>
      <c r="N89" s="29">
        <f>IF($B$45=$R$51,'Rainfall Data'!R4,IF($B$45=$R$52,'Rainfall Data'!R22,IF($B$45=$R$53,'Rainfall Data'!R40,IF($B$45=$R$54, 'Rainfall Data'!R58))))</f>
        <v>12</v>
      </c>
      <c r="O89" s="29">
        <f>IF($B$45=$R$51,'Rainfall Data'!S4,IF($B$45=$R$52,'Rainfall Data'!S22,IF($B$45=$R$53,'Rainfall Data'!S40,IF($B$45=$R$54, 'Rainfall Data'!S58))))</f>
        <v>6.666666666666667</v>
      </c>
      <c r="P89" s="29">
        <f>IF($B$45=$R$51,'Rainfall Data'!T4,IF($B$45=$R$52,'Rainfall Data'!T22,IF($B$45=$R$53,'Rainfall Data'!T40,IF($B$45=$R$54, 'Rainfall Data'!T58))))</f>
        <v>4.666666666666667</v>
      </c>
      <c r="Q89" s="29">
        <f>IF($B$45=$R$51,'Rainfall Data'!U4,IF($B$45=$R$52,'Rainfall Data'!U22,IF($B$45=$R$53,'Rainfall Data'!U40,IF($B$45=$R$54, 'Rainfall Data'!U58))))</f>
        <v>3.4166666666666665</v>
      </c>
      <c r="R89" s="29">
        <f>IF($B$45=$R$51,'Rainfall Data'!V4,IF($B$45=$R$52,'Rainfall Data'!V22,IF($B$45=$R$53,'Rainfall Data'!V40,IF($B$45=$R$54, 'Rainfall Data'!V58))))</f>
        <v>2.1875</v>
      </c>
      <c r="S89" s="29">
        <f>IF($B$45=$R$51,'Rainfall Data'!W4,IF($B$45=$R$52,'Rainfall Data'!W22,IF($B$45=$R$53,'Rainfall Data'!W40,IF($B$45=$R$54, 'Rainfall Data'!W58))))</f>
        <v>1.5555555555555556</v>
      </c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hidden="1" x14ac:dyDescent="0.25">
      <c r="B90" s="84"/>
      <c r="C90" s="84"/>
      <c r="D90" s="84"/>
      <c r="E90" s="84"/>
      <c r="F90" s="84"/>
      <c r="G90" s="84"/>
      <c r="H90" s="84"/>
      <c r="I90" s="123">
        <v>10</v>
      </c>
      <c r="J90" s="29">
        <f>IF($B$45=$R$51,'Rainfall Data'!N5,IF($B$45=$R$52,'Rainfall Data'!N23,IF($B$45=$R$53,'Rainfall Data'!N41,IF($B$45=$R$54, 'Rainfall Data'!N59))))</f>
        <v>72</v>
      </c>
      <c r="K90" s="29">
        <f>IF($B$45=$R$51,'Rainfall Data'!O5,IF($B$45=$R$52,'Rainfall Data'!O23,IF($B$45=$R$53,'Rainfall Data'!O41,IF($B$45=$R$54, 'Rainfall Data'!O59))))</f>
        <v>51</v>
      </c>
      <c r="L90" s="29">
        <f>IF($B$45=$R$51,'Rainfall Data'!P5,IF($B$45=$R$52,'Rainfall Data'!P23,IF($B$45=$R$53,'Rainfall Data'!P41,IF($B$45=$R$54, 'Rainfall Data'!P59))))</f>
        <v>40</v>
      </c>
      <c r="M90" s="29">
        <f>IF($B$45=$R$51,'Rainfall Data'!Q5,IF($B$45=$R$52,'Rainfall Data'!Q23,IF($B$45=$R$53,'Rainfall Data'!Q41,IF($B$45=$R$54, 'Rainfall Data'!Q59))))</f>
        <v>25</v>
      </c>
      <c r="N90" s="29">
        <f>IF($B$45=$R$51,'Rainfall Data'!R5,IF($B$45=$R$52,'Rainfall Data'!R23,IF($B$45=$R$53,'Rainfall Data'!R41,IF($B$45=$R$54, 'Rainfall Data'!R59))))</f>
        <v>15.5</v>
      </c>
      <c r="O90" s="29">
        <f>IF($B$45=$R$51,'Rainfall Data'!S5,IF($B$45=$R$52,'Rainfall Data'!S23,IF($B$45=$R$53,'Rainfall Data'!S41,IF($B$45=$R$54, 'Rainfall Data'!S59))))</f>
        <v>8.5</v>
      </c>
      <c r="P90" s="29">
        <f>IF($B$45=$R$51,'Rainfall Data'!T5,IF($B$45=$R$52,'Rainfall Data'!T23,IF($B$45=$R$53,'Rainfall Data'!T41,IF($B$45=$R$54, 'Rainfall Data'!T59))))</f>
        <v>5.916666666666667</v>
      </c>
      <c r="Q90" s="29">
        <f>IF($B$45=$R$51,'Rainfall Data'!U5,IF($B$45=$R$52,'Rainfall Data'!U23,IF($B$45=$R$53,'Rainfall Data'!U41,IF($B$45=$R$54, 'Rainfall Data'!U59))))</f>
        <v>4.375</v>
      </c>
      <c r="R90" s="29">
        <f>IF($B$45=$R$51,'Rainfall Data'!V5,IF($B$45=$R$52,'Rainfall Data'!V23,IF($B$45=$R$53,'Rainfall Data'!V41,IF($B$45=$R$54, 'Rainfall Data'!V59))))</f>
        <v>2.7083333333333335</v>
      </c>
      <c r="S90" s="29">
        <f>IF($B$45=$R$51,'Rainfall Data'!W5,IF($B$45=$R$52,'Rainfall Data'!W23,IF($B$45=$R$53,'Rainfall Data'!W41,IF($B$45=$R$54, 'Rainfall Data'!W59))))</f>
        <v>1.9305555555555556</v>
      </c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hidden="1" x14ac:dyDescent="0.25">
      <c r="B91" s="84"/>
      <c r="C91" s="84"/>
      <c r="D91" s="84"/>
      <c r="E91" s="84"/>
      <c r="F91" s="84"/>
      <c r="G91" s="84"/>
      <c r="H91" s="84"/>
      <c r="I91" s="123">
        <v>20</v>
      </c>
      <c r="J91" s="29">
        <f>IF($B$45=$R$51,'Rainfall Data'!N6,IF($B$45=$R$52,'Rainfall Data'!N24,IF($B$45=$R$53,'Rainfall Data'!N42,IF($B$45=$R$54, 'Rainfall Data'!N60))))</f>
        <v>90</v>
      </c>
      <c r="K91" s="29">
        <f>IF($B$45=$R$51,'Rainfall Data'!O6,IF($B$45=$R$52,'Rainfall Data'!O24,IF($B$45=$R$53,'Rainfall Data'!O42,IF($B$45=$R$54, 'Rainfall Data'!O60))))</f>
        <v>72</v>
      </c>
      <c r="L91" s="29">
        <f>IF($B$45=$R$51,'Rainfall Data'!P6,IF($B$45=$R$52,'Rainfall Data'!P24,IF($B$45=$R$53,'Rainfall Data'!P42,IF($B$45=$R$54, 'Rainfall Data'!P60))))</f>
        <v>54</v>
      </c>
      <c r="M91" s="29">
        <f>IF($B$45=$R$51,'Rainfall Data'!Q6,IF($B$45=$R$52,'Rainfall Data'!Q24,IF($B$45=$R$53,'Rainfall Data'!Q42,IF($B$45=$R$54, 'Rainfall Data'!Q60))))</f>
        <v>32</v>
      </c>
      <c r="N91" s="29">
        <f>IF($B$45=$R$51,'Rainfall Data'!R6,IF($B$45=$R$52,'Rainfall Data'!R24,IF($B$45=$R$53,'Rainfall Data'!R42,IF($B$45=$R$54, 'Rainfall Data'!R60))))</f>
        <v>19.5</v>
      </c>
      <c r="O91" s="29">
        <f>IF($B$45=$R$51,'Rainfall Data'!S6,IF($B$45=$R$52,'Rainfall Data'!S24,IF($B$45=$R$53,'Rainfall Data'!S42,IF($B$45=$R$54, 'Rainfall Data'!S60))))</f>
        <v>10.5</v>
      </c>
      <c r="P91" s="29">
        <f>IF($B$45=$R$51,'Rainfall Data'!T6,IF($B$45=$R$52,'Rainfall Data'!T24,IF($B$45=$R$53,'Rainfall Data'!T42,IF($B$45=$R$54, 'Rainfall Data'!T60))))</f>
        <v>7.333333333333333</v>
      </c>
      <c r="Q91" s="29">
        <f>IF($B$45=$R$51,'Rainfall Data'!U6,IF($B$45=$R$52,'Rainfall Data'!U24,IF($B$45=$R$53,'Rainfall Data'!U42,IF($B$45=$R$54, 'Rainfall Data'!U60))))</f>
        <v>5.291666666666667</v>
      </c>
      <c r="R91" s="29">
        <f>IF($B$45=$R$51,'Rainfall Data'!V6,IF($B$45=$R$52,'Rainfall Data'!V24,IF($B$45=$R$53,'Rainfall Data'!V42,IF($B$45=$R$54, 'Rainfall Data'!V60))))</f>
        <v>3.2083333333333335</v>
      </c>
      <c r="S91" s="29">
        <f>IF($B$45=$R$51,'Rainfall Data'!W6,IF($B$45=$R$52,'Rainfall Data'!W24,IF($B$45=$R$53,'Rainfall Data'!W42,IF($B$45=$R$54, 'Rainfall Data'!W60))))</f>
        <v>2.2638888888888888</v>
      </c>
    </row>
    <row r="92" spans="1:32" hidden="1" x14ac:dyDescent="0.25">
      <c r="B92" s="84"/>
      <c r="C92" s="84"/>
      <c r="D92" s="84"/>
      <c r="E92" s="84"/>
      <c r="F92" s="84"/>
      <c r="G92" s="84"/>
      <c r="H92" s="121"/>
      <c r="I92" s="123">
        <v>50</v>
      </c>
      <c r="J92" s="29">
        <f>IF($B$45=$R$51,'Rainfall Data'!N7,IF($B$45=$R$52,'Rainfall Data'!N25,IF($B$45=$R$53,'Rainfall Data'!N43,IF($B$45=$R$54, 'Rainfall Data'!N61))))</f>
        <v>126</v>
      </c>
      <c r="K92" s="29">
        <f>IF($B$45=$R$51,'Rainfall Data'!O7,IF($B$45=$R$52,'Rainfall Data'!O25,IF($B$45=$R$53,'Rainfall Data'!O43,IF($B$45=$R$54, 'Rainfall Data'!O61))))</f>
        <v>102</v>
      </c>
      <c r="L92" s="29">
        <f>IF($B$45=$R$51,'Rainfall Data'!P7,IF($B$45=$R$52,'Rainfall Data'!P25,IF($B$45=$R$53,'Rainfall Data'!P43,IF($B$45=$R$54, 'Rainfall Data'!P61))))</f>
        <v>72</v>
      </c>
      <c r="M92" s="29">
        <f>IF($B$45=$R$51,'Rainfall Data'!Q7,IF($B$45=$R$52,'Rainfall Data'!Q25,IF($B$45=$R$53,'Rainfall Data'!Q43,IF($B$45=$R$54, 'Rainfall Data'!Q61))))</f>
        <v>42</v>
      </c>
      <c r="N92" s="29">
        <f>IF($B$45=$R$51,'Rainfall Data'!R7,IF($B$45=$R$52,'Rainfall Data'!R25,IF($B$45=$R$53,'Rainfall Data'!R43,IF($B$45=$R$54, 'Rainfall Data'!R61))))</f>
        <v>25.5</v>
      </c>
      <c r="O92" s="29">
        <f>IF($B$45=$R$51,'Rainfall Data'!S7,IF($B$45=$R$52,'Rainfall Data'!S25,IF($B$45=$R$53,'Rainfall Data'!S43,IF($B$45=$R$54, 'Rainfall Data'!S61))))</f>
        <v>13.166666666666666</v>
      </c>
      <c r="P92" s="29">
        <f>IF($B$45=$R$51,'Rainfall Data'!T7,IF($B$45=$R$52,'Rainfall Data'!T25,IF($B$45=$R$53,'Rainfall Data'!T43,IF($B$45=$R$54, 'Rainfall Data'!T61))))</f>
        <v>9.1666666666666661</v>
      </c>
      <c r="Q92" s="29">
        <f>IF($B$45=$R$51,'Rainfall Data'!U7,IF($B$45=$R$52,'Rainfall Data'!U25,IF($B$45=$R$53,'Rainfall Data'!U43,IF($B$45=$R$54, 'Rainfall Data'!U61))))</f>
        <v>6.541666666666667</v>
      </c>
      <c r="R92" s="29">
        <f>IF($B$45=$R$51,'Rainfall Data'!V7,IF($B$45=$R$52,'Rainfall Data'!V25,IF($B$45=$R$53,'Rainfall Data'!V43,IF($B$45=$R$54, 'Rainfall Data'!V61))))</f>
        <v>3.8333333333333335</v>
      </c>
      <c r="S92" s="29">
        <f>IF($B$45=$R$51,'Rainfall Data'!W7,IF($B$45=$R$52,'Rainfall Data'!W25,IF($B$45=$R$53,'Rainfall Data'!W43,IF($B$45=$R$54, 'Rainfall Data'!W61))))</f>
        <v>2.6944444444444446</v>
      </c>
    </row>
    <row r="93" spans="1:32" hidden="1" x14ac:dyDescent="0.25">
      <c r="B93" s="84"/>
      <c r="C93" s="84"/>
      <c r="D93" s="84"/>
      <c r="E93" s="84"/>
      <c r="F93" s="84"/>
      <c r="G93" s="84"/>
      <c r="H93" s="121"/>
      <c r="I93" s="123">
        <v>100</v>
      </c>
      <c r="J93" s="29">
        <f>IF($B$45=$R$51,'Rainfall Data'!N8,IF($B$45=$R$52,'Rainfall Data'!N26,IF($B$45=$R$53,'Rainfall Data'!N44,IF($B$45=$R$54, 'Rainfall Data'!N62))))</f>
        <v>156</v>
      </c>
      <c r="K93" s="29">
        <f>IF($B$45=$R$51,'Rainfall Data'!O8,IF($B$45=$R$52,'Rainfall Data'!O26,IF($B$45=$R$53,'Rainfall Data'!O44,IF($B$45=$R$54, 'Rainfall Data'!O62))))</f>
        <v>123</v>
      </c>
      <c r="L93" s="29">
        <f>IF($B$45=$R$51,'Rainfall Data'!P8,IF($B$45=$R$52,'Rainfall Data'!P26,IF($B$45=$R$53,'Rainfall Data'!P44,IF($B$45=$R$54, 'Rainfall Data'!P62))))</f>
        <v>86</v>
      </c>
      <c r="M93" s="29">
        <f>IF($B$45=$R$51,'Rainfall Data'!Q8,IF($B$45=$R$52,'Rainfall Data'!Q26,IF($B$45=$R$53,'Rainfall Data'!Q44,IF($B$45=$R$54, 'Rainfall Data'!Q62))))</f>
        <v>50</v>
      </c>
      <c r="N93" s="29">
        <f>IF($B$45=$R$51,'Rainfall Data'!R8,IF($B$45=$R$52,'Rainfall Data'!R26,IF($B$45=$R$53,'Rainfall Data'!R44,IF($B$45=$R$54, 'Rainfall Data'!R62))))</f>
        <v>29.5</v>
      </c>
      <c r="O93" s="29">
        <f>IF($B$45=$R$51,'Rainfall Data'!S8,IF($B$45=$R$52,'Rainfall Data'!S26,IF($B$45=$R$53,'Rainfall Data'!S44,IF($B$45=$R$54, 'Rainfall Data'!S62))))</f>
        <v>15</v>
      </c>
      <c r="P93" s="29">
        <f>IF($B$45=$R$51,'Rainfall Data'!T8,IF($B$45=$R$52,'Rainfall Data'!T26,IF($B$45=$R$53,'Rainfall Data'!T44,IF($B$45=$R$54, 'Rainfall Data'!T62))))</f>
        <v>10.416666666666666</v>
      </c>
      <c r="Q93" s="29">
        <f>IF($B$45=$R$51,'Rainfall Data'!U8,IF($B$45=$R$52,'Rainfall Data'!U26,IF($B$45=$R$53,'Rainfall Data'!U44,IF($B$45=$R$54, 'Rainfall Data'!U62))))</f>
        <v>7.333333333333333</v>
      </c>
      <c r="R93" s="29">
        <f>IF($B$45=$R$51,'Rainfall Data'!V8,IF($B$45=$R$52,'Rainfall Data'!V26,IF($B$45=$R$53,'Rainfall Data'!V44,IF($B$45=$R$54, 'Rainfall Data'!V62))))</f>
        <v>4.25</v>
      </c>
      <c r="S93" s="29">
        <f>IF($B$45=$R$51,'Rainfall Data'!W8,IF($B$45=$R$52,'Rainfall Data'!W26,IF($B$45=$R$53,'Rainfall Data'!W44,IF($B$45=$R$54, 'Rainfall Data'!W62))))</f>
        <v>2.9861111111111112</v>
      </c>
    </row>
    <row r="94" spans="1:32" hidden="1" x14ac:dyDescent="0.25">
      <c r="B94" s="84"/>
      <c r="C94" s="84"/>
      <c r="D94" s="84"/>
      <c r="E94" s="84"/>
      <c r="F94" s="84"/>
      <c r="G94" s="84"/>
      <c r="H94" s="84"/>
      <c r="I94" s="121"/>
      <c r="J94" s="28"/>
      <c r="K94" s="28"/>
      <c r="L94" s="28"/>
      <c r="M94" s="28"/>
      <c r="N94" s="28"/>
      <c r="O94" s="28"/>
      <c r="P94" s="28"/>
      <c r="Q94" s="28"/>
      <c r="R94" s="28"/>
      <c r="S94" s="28"/>
    </row>
    <row r="95" spans="1:32" hidden="1" x14ac:dyDescent="0.25">
      <c r="B95" s="84"/>
      <c r="C95" s="84"/>
      <c r="D95" s="84"/>
      <c r="E95" s="84"/>
      <c r="F95" s="84"/>
      <c r="G95" s="84"/>
      <c r="H95" s="21"/>
      <c r="I95" s="21"/>
      <c r="J95" s="25"/>
      <c r="K95" s="25"/>
      <c r="L95" s="25"/>
      <c r="M95" s="25"/>
      <c r="N95" s="25"/>
      <c r="O95" s="25"/>
      <c r="P95" s="25"/>
      <c r="Q95" s="25"/>
      <c r="R95" s="25"/>
      <c r="S95" s="25"/>
    </row>
    <row r="96" spans="1:32" hidden="1" x14ac:dyDescent="0.25">
      <c r="B96" s="84"/>
      <c r="C96" s="84"/>
      <c r="D96" s="84"/>
      <c r="E96" s="84"/>
      <c r="F96" s="84"/>
      <c r="G96" s="84"/>
      <c r="H96" s="84" t="s">
        <v>57</v>
      </c>
      <c r="I96" s="84"/>
    </row>
    <row r="97" spans="2:19" hidden="1" x14ac:dyDescent="0.25">
      <c r="B97" s="84"/>
      <c r="C97" s="84"/>
      <c r="D97" s="84"/>
      <c r="E97" s="84"/>
      <c r="F97" s="84"/>
      <c r="G97" s="84"/>
      <c r="H97" s="84"/>
      <c r="I97" s="84"/>
    </row>
    <row r="98" spans="2:19" hidden="1" x14ac:dyDescent="0.25">
      <c r="B98" s="84"/>
      <c r="C98" s="84"/>
      <c r="D98" s="84"/>
      <c r="E98" s="84"/>
      <c r="F98" s="84"/>
      <c r="G98" s="84"/>
      <c r="H98" s="84"/>
      <c r="I98" s="122" t="s">
        <v>1</v>
      </c>
      <c r="J98" s="26" t="s">
        <v>2</v>
      </c>
      <c r="K98" s="26" t="s">
        <v>3</v>
      </c>
      <c r="L98" s="26" t="s">
        <v>4</v>
      </c>
      <c r="M98" s="26" t="s">
        <v>5</v>
      </c>
      <c r="N98" s="26" t="s">
        <v>6</v>
      </c>
      <c r="O98" s="26" t="s">
        <v>7</v>
      </c>
      <c r="P98" s="26" t="s">
        <v>8</v>
      </c>
      <c r="Q98" s="26" t="s">
        <v>9</v>
      </c>
      <c r="R98" s="26" t="s">
        <v>10</v>
      </c>
      <c r="S98" s="26" t="s">
        <v>11</v>
      </c>
    </row>
    <row r="99" spans="2:19" hidden="1" x14ac:dyDescent="0.25">
      <c r="B99" s="84"/>
      <c r="C99" s="84"/>
      <c r="D99" s="84"/>
      <c r="E99" s="84"/>
      <c r="F99" s="84"/>
      <c r="G99" s="84"/>
      <c r="H99" s="84"/>
      <c r="I99" s="123">
        <v>2.33</v>
      </c>
      <c r="J99" s="18">
        <f t="shared" ref="J99:S99" si="1">$I$63*$L$63*J88/3600</f>
        <v>2.3291666666666666</v>
      </c>
      <c r="K99" s="18">
        <f t="shared" si="1"/>
        <v>1.6304166666666666</v>
      </c>
      <c r="L99" s="18">
        <f t="shared" si="1"/>
        <v>1.2422222222222221</v>
      </c>
      <c r="M99" s="18">
        <f t="shared" si="1"/>
        <v>0.85402777777777783</v>
      </c>
      <c r="N99" s="18">
        <f t="shared" si="1"/>
        <v>0.62111111111111106</v>
      </c>
      <c r="O99" s="18">
        <f t="shared" si="1"/>
        <v>0.37525462962962958</v>
      </c>
      <c r="P99" s="18">
        <f t="shared" si="1"/>
        <v>0.24585648148148145</v>
      </c>
      <c r="Q99" s="18">
        <f t="shared" si="1"/>
        <v>0.18115740740740743</v>
      </c>
      <c r="R99" s="18">
        <f t="shared" si="1"/>
        <v>0.11969328703703705</v>
      </c>
      <c r="S99" s="18">
        <f t="shared" si="1"/>
        <v>8.6265432098765429E-2</v>
      </c>
    </row>
    <row r="100" spans="2:19" hidden="1" x14ac:dyDescent="0.25">
      <c r="B100" s="84"/>
      <c r="C100" s="84"/>
      <c r="D100" s="84"/>
      <c r="E100" s="84"/>
      <c r="F100" s="84"/>
      <c r="G100" s="84"/>
      <c r="H100" s="84"/>
      <c r="I100" s="123">
        <v>5</v>
      </c>
      <c r="J100" s="18">
        <f t="shared" ref="J100:S100" si="2">$I$63*$L$63*J89/3600</f>
        <v>3.7266666666666666</v>
      </c>
      <c r="K100" s="18">
        <f t="shared" si="2"/>
        <v>2.7949999999999999</v>
      </c>
      <c r="L100" s="18">
        <f t="shared" si="2"/>
        <v>2.173888888888889</v>
      </c>
      <c r="M100" s="18">
        <f t="shared" si="2"/>
        <v>1.3975</v>
      </c>
      <c r="N100" s="18">
        <f t="shared" si="2"/>
        <v>0.93166666666666664</v>
      </c>
      <c r="O100" s="18">
        <f t="shared" si="2"/>
        <v>0.5175925925925926</v>
      </c>
      <c r="P100" s="18">
        <f t="shared" si="2"/>
        <v>0.36231481481481487</v>
      </c>
      <c r="Q100" s="18">
        <f t="shared" si="2"/>
        <v>0.26526620370370368</v>
      </c>
      <c r="R100" s="18">
        <f t="shared" si="2"/>
        <v>0.16983506944444443</v>
      </c>
      <c r="S100" s="18">
        <f t="shared" si="2"/>
        <v>0.1207716049382716</v>
      </c>
    </row>
    <row r="101" spans="2:19" hidden="1" x14ac:dyDescent="0.25">
      <c r="B101" s="84"/>
      <c r="C101" s="84"/>
      <c r="D101" s="84"/>
      <c r="E101" s="84"/>
      <c r="F101" s="84"/>
      <c r="G101" s="84"/>
      <c r="H101" s="84"/>
      <c r="I101" s="123">
        <v>10</v>
      </c>
      <c r="J101" s="18">
        <f t="shared" ref="J101:S101" si="3">$I$63*$L$63*J90/3600</f>
        <v>5.59</v>
      </c>
      <c r="K101" s="18">
        <f t="shared" si="3"/>
        <v>3.9595833333333332</v>
      </c>
      <c r="L101" s="18">
        <f t="shared" si="3"/>
        <v>3.1055555555555556</v>
      </c>
      <c r="M101" s="18">
        <f t="shared" si="3"/>
        <v>1.9409722222222223</v>
      </c>
      <c r="N101" s="18">
        <f t="shared" si="3"/>
        <v>1.2034027777777778</v>
      </c>
      <c r="O101" s="18">
        <f t="shared" si="3"/>
        <v>0.65993055555555558</v>
      </c>
      <c r="P101" s="18">
        <f t="shared" si="3"/>
        <v>0.45936342592592599</v>
      </c>
      <c r="Q101" s="18">
        <f t="shared" si="3"/>
        <v>0.33967013888888886</v>
      </c>
      <c r="R101" s="18">
        <f t="shared" si="3"/>
        <v>0.21027199074074077</v>
      </c>
      <c r="S101" s="18">
        <f t="shared" si="3"/>
        <v>0.14988618827160496</v>
      </c>
    </row>
    <row r="102" spans="2:19" hidden="1" x14ac:dyDescent="0.25">
      <c r="B102" s="84"/>
      <c r="C102" s="84"/>
      <c r="D102" s="84"/>
      <c r="E102" s="84"/>
      <c r="F102" s="84"/>
      <c r="G102" s="84"/>
      <c r="H102" s="84"/>
      <c r="I102" s="123">
        <v>20</v>
      </c>
      <c r="J102" s="18">
        <f t="shared" ref="J102:S102" si="4">$I$63*$L$63*J91/3600</f>
        <v>6.9874999999999998</v>
      </c>
      <c r="K102" s="18">
        <f t="shared" si="4"/>
        <v>5.59</v>
      </c>
      <c r="L102" s="18">
        <f t="shared" si="4"/>
        <v>4.1924999999999999</v>
      </c>
      <c r="M102" s="18">
        <f t="shared" si="4"/>
        <v>2.4844444444444442</v>
      </c>
      <c r="N102" s="18">
        <f t="shared" si="4"/>
        <v>1.5139583333333333</v>
      </c>
      <c r="O102" s="18">
        <f t="shared" si="4"/>
        <v>0.81520833333333331</v>
      </c>
      <c r="P102" s="18">
        <f t="shared" si="4"/>
        <v>0.56935185185185178</v>
      </c>
      <c r="Q102" s="18">
        <f t="shared" si="4"/>
        <v>0.4108391203703704</v>
      </c>
      <c r="R102" s="18">
        <f t="shared" si="4"/>
        <v>0.2490914351851852</v>
      </c>
      <c r="S102" s="18">
        <f t="shared" si="4"/>
        <v>0.17576581790123458</v>
      </c>
    </row>
    <row r="103" spans="2:19" hidden="1" x14ac:dyDescent="0.25">
      <c r="B103" s="84"/>
      <c r="C103" s="84"/>
      <c r="D103" s="84"/>
      <c r="E103" s="84"/>
      <c r="F103" s="84"/>
      <c r="G103" s="84"/>
      <c r="H103" s="84"/>
      <c r="I103" s="123">
        <v>50</v>
      </c>
      <c r="J103" s="18">
        <f t="shared" ref="J103:S103" si="5">$I$63*$L$63*J92/3600</f>
        <v>9.7825000000000006</v>
      </c>
      <c r="K103" s="18">
        <f t="shared" si="5"/>
        <v>7.9191666666666665</v>
      </c>
      <c r="L103" s="18">
        <f t="shared" si="5"/>
        <v>5.59</v>
      </c>
      <c r="M103" s="18">
        <f t="shared" si="5"/>
        <v>3.2608333333333333</v>
      </c>
      <c r="N103" s="18">
        <f t="shared" si="5"/>
        <v>1.9797916666666666</v>
      </c>
      <c r="O103" s="18">
        <f t="shared" si="5"/>
        <v>1.0222453703703702</v>
      </c>
      <c r="P103" s="18">
        <f t="shared" si="5"/>
        <v>0.71168981481481475</v>
      </c>
      <c r="Q103" s="18">
        <f t="shared" si="5"/>
        <v>0.50788773148148147</v>
      </c>
      <c r="R103" s="18">
        <f t="shared" si="5"/>
        <v>0.29761574074074076</v>
      </c>
      <c r="S103" s="18">
        <f t="shared" si="5"/>
        <v>0.20919367283950618</v>
      </c>
    </row>
    <row r="104" spans="2:19" hidden="1" x14ac:dyDescent="0.25">
      <c r="B104" s="84"/>
      <c r="C104" s="84"/>
      <c r="D104" s="84"/>
      <c r="E104" s="84"/>
      <c r="F104" s="84"/>
      <c r="G104" s="84"/>
      <c r="H104" s="84"/>
      <c r="I104" s="123">
        <v>100</v>
      </c>
      <c r="J104" s="18">
        <f t="shared" ref="J104:S104" si="6">$I$63*$L$63*J93/3600</f>
        <v>12.111666666666666</v>
      </c>
      <c r="K104" s="18">
        <f t="shared" si="6"/>
        <v>9.5495833333333326</v>
      </c>
      <c r="L104" s="18">
        <f t="shared" si="6"/>
        <v>6.6769444444444446</v>
      </c>
      <c r="M104" s="18">
        <f t="shared" si="6"/>
        <v>3.8819444444444446</v>
      </c>
      <c r="N104" s="18">
        <f t="shared" si="6"/>
        <v>2.2903472222222221</v>
      </c>
      <c r="O104" s="18">
        <f t="shared" si="6"/>
        <v>1.1645833333333333</v>
      </c>
      <c r="P104" s="18">
        <f t="shared" si="6"/>
        <v>0.80873842592592582</v>
      </c>
      <c r="Q104" s="18">
        <f t="shared" si="6"/>
        <v>0.56935185185185178</v>
      </c>
      <c r="R104" s="18">
        <f t="shared" si="6"/>
        <v>0.32996527777777779</v>
      </c>
      <c r="S104" s="18">
        <f t="shared" si="6"/>
        <v>0.23183834876543211</v>
      </c>
    </row>
    <row r="105" spans="2:19" hidden="1" x14ac:dyDescent="0.25">
      <c r="B105" s="84"/>
      <c r="C105" s="84"/>
      <c r="D105" s="84"/>
      <c r="E105" s="84"/>
      <c r="F105" s="84"/>
      <c r="G105" s="84"/>
      <c r="H105" s="84"/>
      <c r="I105" s="84"/>
    </row>
    <row r="106" spans="2:19" x14ac:dyDescent="0.25">
      <c r="B106" s="84"/>
      <c r="C106" s="84"/>
      <c r="D106" s="84"/>
      <c r="E106" s="84"/>
      <c r="F106" s="84"/>
      <c r="G106" s="84"/>
      <c r="H106" s="84"/>
      <c r="I106" s="84"/>
    </row>
    <row r="107" spans="2:19" x14ac:dyDescent="0.25">
      <c r="L107" s="15"/>
    </row>
  </sheetData>
  <protectedRanges>
    <protectedRange sqref="C10 C8:D9 F17 B8:B10 B26:D28 C13:C15 E28 B17:B24 B30:B35 E30:E35 C11:D12 C17:C25 B38:D38" name="Range1"/>
    <protectedRange sqref="B25" name="Range1_2"/>
  </protectedRanges>
  <mergeCells count="54">
    <mergeCell ref="V38:W38"/>
    <mergeCell ref="J59:K59"/>
    <mergeCell ref="J60:K60"/>
    <mergeCell ref="J50:K50"/>
    <mergeCell ref="J51:K51"/>
    <mergeCell ref="J52:K52"/>
    <mergeCell ref="D66:G67"/>
    <mergeCell ref="P43:Q47"/>
    <mergeCell ref="B63:D63"/>
    <mergeCell ref="J47:K47"/>
    <mergeCell ref="J48:K48"/>
    <mergeCell ref="J49:K49"/>
    <mergeCell ref="J53:K53"/>
    <mergeCell ref="J54:K54"/>
    <mergeCell ref="J61:K61"/>
    <mergeCell ref="J46:K46"/>
    <mergeCell ref="J62:K62"/>
    <mergeCell ref="J63:K63"/>
    <mergeCell ref="J55:K55"/>
    <mergeCell ref="J56:K56"/>
    <mergeCell ref="J57:K57"/>
    <mergeCell ref="J58:K58"/>
    <mergeCell ref="Q7:R10"/>
    <mergeCell ref="C10:D10"/>
    <mergeCell ref="C17:D17"/>
    <mergeCell ref="G17:G24"/>
    <mergeCell ref="C18:D18"/>
    <mergeCell ref="C19:D19"/>
    <mergeCell ref="C20:D20"/>
    <mergeCell ref="C21:D21"/>
    <mergeCell ref="C22:D22"/>
    <mergeCell ref="C23:D23"/>
    <mergeCell ref="C24:D24"/>
    <mergeCell ref="C13:D13"/>
    <mergeCell ref="C14:D14"/>
    <mergeCell ref="F12:G12"/>
    <mergeCell ref="F13:G15"/>
    <mergeCell ref="E13:E15"/>
    <mergeCell ref="E10:G11"/>
    <mergeCell ref="A28:A29"/>
    <mergeCell ref="V36:W36"/>
    <mergeCell ref="C35:D35"/>
    <mergeCell ref="C34:D34"/>
    <mergeCell ref="V27:W27"/>
    <mergeCell ref="V24:W24"/>
    <mergeCell ref="V26:W26"/>
    <mergeCell ref="E28:F28"/>
    <mergeCell ref="C36:D36"/>
    <mergeCell ref="C33:D33"/>
    <mergeCell ref="C30:D30"/>
    <mergeCell ref="C31:D31"/>
    <mergeCell ref="C32:D32"/>
    <mergeCell ref="B28:D28"/>
    <mergeCell ref="C29:D29"/>
  </mergeCells>
  <conditionalFormatting sqref="O51:O55 K43:K44 O43:O47 U26 P7:P10">
    <cfRule type="containsText" dxfId="31" priority="57" operator="containsText" text="NO">
      <formula>NOT(ISERROR(SEARCH("NO",K7)))</formula>
    </cfRule>
    <cfRule type="containsText" dxfId="30" priority="58" operator="containsText" text="YES">
      <formula>NOT(ISERROR(SEARCH("YES",K7)))</formula>
    </cfRule>
  </conditionalFormatting>
  <conditionalFormatting sqref="N43:N47">
    <cfRule type="containsText" dxfId="29" priority="53" operator="containsText" text="NO">
      <formula>NOT(ISERROR(SEARCH("NO",N43)))</formula>
    </cfRule>
    <cfRule type="containsText" dxfId="28" priority="54" operator="containsText" text="YES">
      <formula>NOT(ISERROR(SEARCH("YES",N43)))</formula>
    </cfRule>
  </conditionalFormatting>
  <conditionalFormatting sqref="N43:N47">
    <cfRule type="cellIs" dxfId="27" priority="49" operator="greaterThan">
      <formula>0</formula>
    </cfRule>
  </conditionalFormatting>
  <conditionalFormatting sqref="K3">
    <cfRule type="containsText" dxfId="26" priority="65" operator="containsText" text="NO">
      <formula>NOT(ISERROR(SEARCH("NO",K3)))</formula>
    </cfRule>
  </conditionalFormatting>
  <conditionalFormatting sqref="J43:J44">
    <cfRule type="containsText" dxfId="25" priority="35" operator="containsText" text="NO">
      <formula>NOT(ISERROR(SEARCH("NO",J43)))</formula>
    </cfRule>
    <cfRule type="containsText" dxfId="24" priority="36" operator="containsText" text="YES">
      <formula>NOT(ISERROR(SEARCH("YES",J43)))</formula>
    </cfRule>
  </conditionalFormatting>
  <conditionalFormatting sqref="J43:J44">
    <cfRule type="cellIs" dxfId="23" priority="33" operator="greaterThan">
      <formula>0</formula>
    </cfRule>
  </conditionalFormatting>
  <conditionalFormatting sqref="B63:D63">
    <cfRule type="expression" dxfId="22" priority="31">
      <formula>B57+B62&lt;&gt;B51</formula>
    </cfRule>
  </conditionalFormatting>
  <conditionalFormatting sqref="L59 I56:I58">
    <cfRule type="containsText" dxfId="21" priority="23" operator="containsText" text="NO">
      <formula>NOT(ISERROR(SEARCH("NO",I56)))</formula>
    </cfRule>
    <cfRule type="containsText" dxfId="20" priority="24" operator="containsText" text="YES">
      <formula>NOT(ISERROR(SEARCH("YES",I56)))</formula>
    </cfRule>
  </conditionalFormatting>
  <conditionalFormatting sqref="I55">
    <cfRule type="containsText" dxfId="19" priority="21" operator="containsText" text="NO">
      <formula>NOT(ISERROR(SEARCH("NO",I55)))</formula>
    </cfRule>
    <cfRule type="containsText" dxfId="18" priority="22" operator="containsText" text="YES">
      <formula>NOT(ISERROR(SEARCH("YES",I55)))</formula>
    </cfRule>
  </conditionalFormatting>
  <conditionalFormatting sqref="I43:I44 M43:M44">
    <cfRule type="expression" dxfId="17" priority="68">
      <formula>I43=$B$67</formula>
    </cfRule>
  </conditionalFormatting>
  <conditionalFormatting sqref="L50 I47:I49">
    <cfRule type="containsText" dxfId="16" priority="19" operator="containsText" text="NO">
      <formula>NOT(ISERROR(SEARCH("NO",I47)))</formula>
    </cfRule>
    <cfRule type="containsText" dxfId="15" priority="20" operator="containsText" text="YES">
      <formula>NOT(ISERROR(SEARCH("YES",I47)))</formula>
    </cfRule>
  </conditionalFormatting>
  <conditionalFormatting sqref="I46">
    <cfRule type="containsText" dxfId="14" priority="17" operator="containsText" text="NO">
      <formula>NOT(ISERROR(SEARCH("NO",I46)))</formula>
    </cfRule>
    <cfRule type="containsText" dxfId="13" priority="18" operator="containsText" text="YES">
      <formula>NOT(ISERROR(SEARCH("YES",I46)))</formula>
    </cfRule>
  </conditionalFormatting>
  <conditionalFormatting sqref="I54">
    <cfRule type="containsText" dxfId="12" priority="13" operator="containsText" text="NO">
      <formula>NOT(ISERROR(SEARCH("NO",I54)))</formula>
    </cfRule>
    <cfRule type="containsText" dxfId="11" priority="14" operator="containsText" text="YES">
      <formula>NOT(ISERROR(SEARCH("YES",I54)))</formula>
    </cfRule>
  </conditionalFormatting>
  <conditionalFormatting sqref="X27 T27">
    <cfRule type="containsText" dxfId="10" priority="7" operator="containsText" text="NO">
      <formula>NOT(ISERROR(SEARCH("NO",T27)))</formula>
    </cfRule>
    <cfRule type="containsText" dxfId="9" priority="8" operator="containsText" text="YES">
      <formula>NOT(ISERROR(SEARCH("YES",T27)))</formula>
    </cfRule>
  </conditionalFormatting>
  <conditionalFormatting sqref="U24:U25">
    <cfRule type="containsText" dxfId="8" priority="5" operator="containsText" text="NO">
      <formula>NOT(ISERROR(SEARCH("NO",U24)))</formula>
    </cfRule>
    <cfRule type="containsText" dxfId="7" priority="6" operator="containsText" text="YES">
      <formula>NOT(ISERROR(SEARCH("YES",U24)))</formula>
    </cfRule>
  </conditionalFormatting>
  <conditionalFormatting sqref="P16">
    <cfRule type="containsText" dxfId="6" priority="3" operator="containsText" text="NO">
      <formula>NOT(ISERROR(SEARCH("NO",P16)))</formula>
    </cfRule>
    <cfRule type="containsText" dxfId="5" priority="4" operator="containsText" text="YES">
      <formula>NOT(ISERROR(SEARCH("YES",P16)))</formula>
    </cfRule>
  </conditionalFormatting>
  <conditionalFormatting sqref="X38 T38">
    <cfRule type="containsText" dxfId="4" priority="1" operator="containsText" text="NO">
      <formula>NOT(ISERROR(SEARCH("NO",T38)))</formula>
    </cfRule>
    <cfRule type="containsText" dxfId="3" priority="2" operator="containsText" text="YES">
      <formula>NOT(ISERROR(SEARCH("YES",T38)))</formula>
    </cfRule>
  </conditionalFormatting>
  <dataValidations count="6">
    <dataValidation type="list" allowBlank="1" showInputMessage="1" showErrorMessage="1" sqref="B46">
      <formula1>$R$48:$R$49</formula1>
    </dataValidation>
    <dataValidation type="list" allowBlank="1" showInputMessage="1" showErrorMessage="1" sqref="B66 B11">
      <formula1>$I$88:$I$93</formula1>
    </dataValidation>
    <dataValidation type="custom" allowBlank="1" showInputMessage="1" showErrorMessage="1" error="No value input" sqref="B10">
      <formula1>M33</formula1>
    </dataValidation>
    <dataValidation allowBlank="1" showInputMessage="1" showErrorMessage="1" prompt="Select the cell to the left to active the drop-down menu." sqref="C8 C11:C12"/>
    <dataValidation operator="equal" allowBlank="1" showInputMessage="1" showErrorMessage="1" error="No data entry allow in this cell" sqref="G34:G35 E22:F23"/>
    <dataValidation type="list" allowBlank="1" showInputMessage="1" showErrorMessage="1" sqref="B8">
      <formula1>$R$50:$R$54</formula1>
    </dataValidation>
  </dataValidations>
  <pageMargins left="0.70866141732283472" right="0.70866141732283472" top="0.19685039370078741" bottom="0.19685039370078741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" operator="containsText" id="{9650F1E4-12C9-4554-A91A-07B74C819F68}">
            <xm:f>NOT(ISERROR(SEARCH($R$68,H68)))</xm:f>
            <xm:f>$R$68</xm:f>
            <x14:dxf>
              <font>
                <b val="0"/>
                <i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H68</xm:sqref>
        </x14:conditionalFormatting>
        <x14:conditionalFormatting xmlns:xm="http://schemas.microsoft.com/office/excel/2006/main">
          <x14:cfRule type="containsText" priority="66" operator="containsText" id="{ECCCB819-C2F3-4E15-8622-73B75F62C9A0}">
            <xm:f>NOT(ISERROR(SEARCH(#REF!,K3)))</xm:f>
            <xm:f>#REF!</xm:f>
            <x14:dxf>
              <font>
                <b val="0"/>
                <i val="0"/>
                <color theme="9" tint="-0.24994659260841701"/>
              </font>
              <fill>
                <patternFill patternType="solid">
                  <bgColor theme="9" tint="0.59996337778862885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containsText" priority="26" operator="containsText" id="{9E550AE8-A409-4325-9DB1-D6D05EE188B7}">
            <xm:f>NOT(ISERROR(SEARCH($R$68,H69)))</xm:f>
            <xm:f>$R$68</xm:f>
            <x14:dxf>
              <font>
                <b val="0"/>
                <i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'Rainfall Data'!$Y$1:$Y$4</xm:f>
          </x14:formula1>
          <xm:sqref>B45</xm:sqref>
        </x14:dataValidation>
        <x14:dataValidation type="list" allowBlank="1" showInputMessage="1" showErrorMessage="1">
          <x14:formula1>
            <xm:f>'Rainfall Data'!$N$2:$W$2</xm:f>
          </x14:formula1>
          <xm:sqref>B67:B68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33" zoomScale="70" zoomScaleNormal="70" workbookViewId="0">
      <selection activeCell="Z31" sqref="Z31"/>
    </sheetView>
  </sheetViews>
  <sheetFormatPr defaultRowHeight="15" x14ac:dyDescent="0.25"/>
  <cols>
    <col min="1" max="1" width="14.7109375" customWidth="1"/>
    <col min="13" max="13" width="14.140625" customWidth="1"/>
  </cols>
  <sheetData>
    <row r="1" spans="1:25" x14ac:dyDescent="0.25">
      <c r="A1" s="3" t="s">
        <v>0</v>
      </c>
      <c r="B1" s="3" t="str">
        <f>B10</f>
        <v>Design Rainfalls for Timaru under projected climate change to 2090s (mm)</v>
      </c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" t="s">
        <v>18</v>
      </c>
      <c r="O1" s="3"/>
      <c r="P1" s="3"/>
      <c r="Q1" s="3"/>
      <c r="R1" s="3"/>
      <c r="S1" s="3"/>
      <c r="T1" s="3"/>
      <c r="U1" s="3"/>
      <c r="V1" s="3"/>
      <c r="W1" s="3"/>
      <c r="Y1" t="s">
        <v>0</v>
      </c>
    </row>
    <row r="2" spans="1:2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 t="s">
        <v>1</v>
      </c>
      <c r="N2" s="3" t="s">
        <v>2</v>
      </c>
      <c r="O2" s="3" t="s">
        <v>3</v>
      </c>
      <c r="P2" s="3" t="s">
        <v>4</v>
      </c>
      <c r="Q2" s="3" t="s">
        <v>5</v>
      </c>
      <c r="R2" s="3" t="s">
        <v>6</v>
      </c>
      <c r="S2" s="3" t="s">
        <v>7</v>
      </c>
      <c r="T2" s="3" t="s">
        <v>8</v>
      </c>
      <c r="U2" s="3" t="s">
        <v>9</v>
      </c>
      <c r="V2" s="3" t="s">
        <v>10</v>
      </c>
      <c r="W2" s="3" t="s">
        <v>11</v>
      </c>
      <c r="Y2" t="s">
        <v>12</v>
      </c>
    </row>
    <row r="3" spans="1:25" x14ac:dyDescent="0.25">
      <c r="A3" s="3">
        <v>2.33</v>
      </c>
      <c r="B3" s="3">
        <f>B12</f>
        <v>5</v>
      </c>
      <c r="C3" s="3">
        <f t="shared" ref="C3:K3" si="0">C12</f>
        <v>7</v>
      </c>
      <c r="D3" s="3">
        <f t="shared" si="0"/>
        <v>8</v>
      </c>
      <c r="E3" s="3">
        <f t="shared" si="0"/>
        <v>11</v>
      </c>
      <c r="F3" s="3">
        <f t="shared" si="0"/>
        <v>16</v>
      </c>
      <c r="G3" s="3">
        <f t="shared" si="0"/>
        <v>29</v>
      </c>
      <c r="H3" s="3">
        <f t="shared" si="0"/>
        <v>38</v>
      </c>
      <c r="I3" s="3">
        <f t="shared" si="0"/>
        <v>56</v>
      </c>
      <c r="J3" s="3">
        <f t="shared" si="0"/>
        <v>74</v>
      </c>
      <c r="K3" s="3">
        <f t="shared" si="0"/>
        <v>80</v>
      </c>
      <c r="L3" s="3"/>
      <c r="M3" s="3">
        <v>2.33</v>
      </c>
      <c r="N3" s="3">
        <f>B3*6</f>
        <v>30</v>
      </c>
      <c r="O3" s="3">
        <f>C3*3</f>
        <v>21</v>
      </c>
      <c r="P3" s="3">
        <f>D3*2</f>
        <v>16</v>
      </c>
      <c r="Q3" s="3">
        <f>E3</f>
        <v>11</v>
      </c>
      <c r="R3" s="3">
        <f>F3/2</f>
        <v>8</v>
      </c>
      <c r="S3" s="3">
        <f>G3/6</f>
        <v>4.833333333333333</v>
      </c>
      <c r="T3" s="3">
        <f>H3/12</f>
        <v>3.1666666666666665</v>
      </c>
      <c r="U3" s="3">
        <f>I3/24</f>
        <v>2.3333333333333335</v>
      </c>
      <c r="V3" s="3">
        <f>J3/48</f>
        <v>1.5416666666666667</v>
      </c>
      <c r="W3" s="3">
        <f>K3/72</f>
        <v>1.1111111111111112</v>
      </c>
      <c r="Y3" t="s">
        <v>16</v>
      </c>
    </row>
    <row r="4" spans="1:25" x14ac:dyDescent="0.25">
      <c r="A4" s="3">
        <v>5</v>
      </c>
      <c r="B4" s="3">
        <f t="shared" ref="B4:K8" si="1">B13</f>
        <v>8</v>
      </c>
      <c r="C4" s="3">
        <f t="shared" si="1"/>
        <v>12</v>
      </c>
      <c r="D4" s="3">
        <f t="shared" si="1"/>
        <v>14</v>
      </c>
      <c r="E4" s="3">
        <f t="shared" si="1"/>
        <v>18</v>
      </c>
      <c r="F4" s="3">
        <f t="shared" si="1"/>
        <v>24</v>
      </c>
      <c r="G4" s="3">
        <f t="shared" si="1"/>
        <v>40</v>
      </c>
      <c r="H4" s="3">
        <f t="shared" si="1"/>
        <v>56</v>
      </c>
      <c r="I4" s="3">
        <f t="shared" si="1"/>
        <v>82</v>
      </c>
      <c r="J4" s="3">
        <f t="shared" si="1"/>
        <v>105</v>
      </c>
      <c r="K4" s="3">
        <f t="shared" si="1"/>
        <v>112</v>
      </c>
      <c r="L4" s="3"/>
      <c r="M4" s="3">
        <v>5</v>
      </c>
      <c r="N4" s="3">
        <f t="shared" ref="N4:N8" si="2">B4*6</f>
        <v>48</v>
      </c>
      <c r="O4" s="3">
        <f t="shared" ref="O4:O8" si="3">C4*3</f>
        <v>36</v>
      </c>
      <c r="P4" s="3">
        <f t="shared" ref="P4:P8" si="4">D4*2</f>
        <v>28</v>
      </c>
      <c r="Q4" s="3">
        <f t="shared" ref="Q4:Q8" si="5">E4</f>
        <v>18</v>
      </c>
      <c r="R4" s="3">
        <f t="shared" ref="R4:R8" si="6">F4/2</f>
        <v>12</v>
      </c>
      <c r="S4" s="3">
        <f t="shared" ref="S4:S8" si="7">G4/6</f>
        <v>6.666666666666667</v>
      </c>
      <c r="T4" s="3">
        <f t="shared" ref="T4:T8" si="8">H4/12</f>
        <v>4.666666666666667</v>
      </c>
      <c r="U4" s="3">
        <f t="shared" ref="U4:U8" si="9">I4/24</f>
        <v>3.4166666666666665</v>
      </c>
      <c r="V4" s="3">
        <f t="shared" ref="V4:V8" si="10">J4/48</f>
        <v>2.1875</v>
      </c>
      <c r="W4" s="3">
        <f t="shared" ref="W4:W8" si="11">K4/72</f>
        <v>1.5555555555555556</v>
      </c>
      <c r="Y4" t="s">
        <v>63</v>
      </c>
    </row>
    <row r="5" spans="1:25" x14ac:dyDescent="0.25">
      <c r="A5" s="3">
        <v>10</v>
      </c>
      <c r="B5" s="3">
        <f t="shared" si="1"/>
        <v>12</v>
      </c>
      <c r="C5" s="3">
        <f t="shared" si="1"/>
        <v>17</v>
      </c>
      <c r="D5" s="3">
        <f t="shared" si="1"/>
        <v>20</v>
      </c>
      <c r="E5" s="3">
        <f t="shared" si="1"/>
        <v>25</v>
      </c>
      <c r="F5" s="3">
        <f t="shared" si="1"/>
        <v>31</v>
      </c>
      <c r="G5" s="3">
        <f t="shared" si="1"/>
        <v>51</v>
      </c>
      <c r="H5" s="3">
        <f t="shared" si="1"/>
        <v>71</v>
      </c>
      <c r="I5" s="3">
        <f t="shared" si="1"/>
        <v>105</v>
      </c>
      <c r="J5" s="3">
        <f t="shared" si="1"/>
        <v>130</v>
      </c>
      <c r="K5" s="3">
        <f t="shared" si="1"/>
        <v>139</v>
      </c>
      <c r="L5" s="3"/>
      <c r="M5" s="3">
        <v>10</v>
      </c>
      <c r="N5" s="3">
        <f t="shared" si="2"/>
        <v>72</v>
      </c>
      <c r="O5" s="3">
        <f t="shared" si="3"/>
        <v>51</v>
      </c>
      <c r="P5" s="3">
        <f t="shared" si="4"/>
        <v>40</v>
      </c>
      <c r="Q5" s="3">
        <f t="shared" si="5"/>
        <v>25</v>
      </c>
      <c r="R5" s="3">
        <f t="shared" si="6"/>
        <v>15.5</v>
      </c>
      <c r="S5" s="3">
        <f t="shared" si="7"/>
        <v>8.5</v>
      </c>
      <c r="T5" s="3">
        <f t="shared" si="8"/>
        <v>5.916666666666667</v>
      </c>
      <c r="U5" s="3">
        <f t="shared" si="9"/>
        <v>4.375</v>
      </c>
      <c r="V5" s="3">
        <f t="shared" si="10"/>
        <v>2.7083333333333335</v>
      </c>
      <c r="W5" s="3">
        <f t="shared" si="11"/>
        <v>1.9305555555555556</v>
      </c>
    </row>
    <row r="6" spans="1:25" x14ac:dyDescent="0.25">
      <c r="A6" s="3">
        <v>20</v>
      </c>
      <c r="B6" s="3">
        <f t="shared" si="1"/>
        <v>15</v>
      </c>
      <c r="C6" s="3">
        <f t="shared" si="1"/>
        <v>24</v>
      </c>
      <c r="D6" s="3">
        <f t="shared" si="1"/>
        <v>27</v>
      </c>
      <c r="E6" s="3">
        <f t="shared" si="1"/>
        <v>32</v>
      </c>
      <c r="F6" s="3">
        <f t="shared" si="1"/>
        <v>39</v>
      </c>
      <c r="G6" s="3">
        <f t="shared" si="1"/>
        <v>63</v>
      </c>
      <c r="H6" s="3">
        <f t="shared" si="1"/>
        <v>88</v>
      </c>
      <c r="I6" s="3">
        <f t="shared" si="1"/>
        <v>127</v>
      </c>
      <c r="J6" s="3">
        <f t="shared" si="1"/>
        <v>154</v>
      </c>
      <c r="K6" s="3">
        <f t="shared" si="1"/>
        <v>163</v>
      </c>
      <c r="L6" s="3"/>
      <c r="M6" s="3">
        <v>20</v>
      </c>
      <c r="N6" s="3">
        <f t="shared" si="2"/>
        <v>90</v>
      </c>
      <c r="O6" s="3">
        <f t="shared" si="3"/>
        <v>72</v>
      </c>
      <c r="P6" s="3">
        <f t="shared" si="4"/>
        <v>54</v>
      </c>
      <c r="Q6" s="3">
        <f t="shared" si="5"/>
        <v>32</v>
      </c>
      <c r="R6" s="3">
        <f t="shared" si="6"/>
        <v>19.5</v>
      </c>
      <c r="S6" s="3">
        <f t="shared" si="7"/>
        <v>10.5</v>
      </c>
      <c r="T6" s="3">
        <f t="shared" si="8"/>
        <v>7.333333333333333</v>
      </c>
      <c r="U6" s="3">
        <f t="shared" si="9"/>
        <v>5.291666666666667</v>
      </c>
      <c r="V6" s="3">
        <f t="shared" si="10"/>
        <v>3.2083333333333335</v>
      </c>
      <c r="W6" s="3">
        <f t="shared" si="11"/>
        <v>2.2638888888888888</v>
      </c>
    </row>
    <row r="7" spans="1:25" x14ac:dyDescent="0.25">
      <c r="A7" s="3">
        <v>50</v>
      </c>
      <c r="B7" s="3">
        <f t="shared" si="1"/>
        <v>21</v>
      </c>
      <c r="C7" s="3">
        <f t="shared" si="1"/>
        <v>34</v>
      </c>
      <c r="D7" s="3">
        <f t="shared" si="1"/>
        <v>36</v>
      </c>
      <c r="E7" s="3">
        <f t="shared" si="1"/>
        <v>42</v>
      </c>
      <c r="F7" s="3">
        <f t="shared" si="1"/>
        <v>51</v>
      </c>
      <c r="G7" s="3">
        <f t="shared" si="1"/>
        <v>79</v>
      </c>
      <c r="H7" s="3">
        <f t="shared" si="1"/>
        <v>110</v>
      </c>
      <c r="I7" s="3">
        <f t="shared" si="1"/>
        <v>157</v>
      </c>
      <c r="J7" s="3">
        <f t="shared" si="1"/>
        <v>184</v>
      </c>
      <c r="K7" s="3">
        <f t="shared" si="1"/>
        <v>194</v>
      </c>
      <c r="L7" s="3"/>
      <c r="M7" s="3">
        <v>50</v>
      </c>
      <c r="N7" s="3">
        <f t="shared" si="2"/>
        <v>126</v>
      </c>
      <c r="O7" s="3">
        <f t="shared" si="3"/>
        <v>102</v>
      </c>
      <c r="P7" s="3">
        <f t="shared" si="4"/>
        <v>72</v>
      </c>
      <c r="Q7" s="3">
        <f t="shared" si="5"/>
        <v>42</v>
      </c>
      <c r="R7" s="3">
        <f t="shared" si="6"/>
        <v>25.5</v>
      </c>
      <c r="S7" s="3">
        <f t="shared" si="7"/>
        <v>13.166666666666666</v>
      </c>
      <c r="T7" s="3">
        <f t="shared" si="8"/>
        <v>9.1666666666666661</v>
      </c>
      <c r="U7" s="3">
        <f t="shared" si="9"/>
        <v>6.541666666666667</v>
      </c>
      <c r="V7" s="3">
        <f t="shared" si="10"/>
        <v>3.8333333333333335</v>
      </c>
      <c r="W7" s="3">
        <f t="shared" si="11"/>
        <v>2.6944444444444446</v>
      </c>
    </row>
    <row r="8" spans="1:25" x14ac:dyDescent="0.25">
      <c r="A8" s="3">
        <v>100</v>
      </c>
      <c r="B8" s="3">
        <f t="shared" si="1"/>
        <v>26</v>
      </c>
      <c r="C8" s="3">
        <f t="shared" si="1"/>
        <v>41</v>
      </c>
      <c r="D8" s="3">
        <f t="shared" si="1"/>
        <v>43</v>
      </c>
      <c r="E8" s="3">
        <f t="shared" si="1"/>
        <v>50</v>
      </c>
      <c r="F8" s="3">
        <f t="shared" si="1"/>
        <v>59</v>
      </c>
      <c r="G8" s="3">
        <f t="shared" si="1"/>
        <v>90</v>
      </c>
      <c r="H8" s="3">
        <f t="shared" si="1"/>
        <v>125</v>
      </c>
      <c r="I8" s="3">
        <f t="shared" si="1"/>
        <v>176</v>
      </c>
      <c r="J8" s="3">
        <f t="shared" si="1"/>
        <v>204</v>
      </c>
      <c r="K8" s="3">
        <f t="shared" si="1"/>
        <v>215</v>
      </c>
      <c r="L8" s="3"/>
      <c r="M8" s="3">
        <v>100</v>
      </c>
      <c r="N8" s="3">
        <f t="shared" si="2"/>
        <v>156</v>
      </c>
      <c r="O8" s="3">
        <f t="shared" si="3"/>
        <v>123</v>
      </c>
      <c r="P8" s="3">
        <f t="shared" si="4"/>
        <v>86</v>
      </c>
      <c r="Q8" s="3">
        <f t="shared" si="5"/>
        <v>50</v>
      </c>
      <c r="R8" s="3">
        <f t="shared" si="6"/>
        <v>29.5</v>
      </c>
      <c r="S8" s="3">
        <f t="shared" si="7"/>
        <v>15</v>
      </c>
      <c r="T8" s="3">
        <f t="shared" si="8"/>
        <v>10.416666666666666</v>
      </c>
      <c r="U8" s="3">
        <f t="shared" si="9"/>
        <v>7.333333333333333</v>
      </c>
      <c r="V8" s="3">
        <f t="shared" si="10"/>
        <v>4.25</v>
      </c>
      <c r="W8" s="3">
        <f t="shared" si="11"/>
        <v>2.9861111111111112</v>
      </c>
    </row>
    <row r="9" spans="1: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5" x14ac:dyDescent="0.25">
      <c r="A10" s="3" t="s">
        <v>0</v>
      </c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 t="s">
        <v>0</v>
      </c>
      <c r="N10" s="3" t="s">
        <v>19</v>
      </c>
      <c r="O10" s="3"/>
      <c r="P10" s="3"/>
      <c r="Q10" s="3"/>
      <c r="R10" s="3"/>
      <c r="S10" s="3"/>
      <c r="T10" s="3"/>
      <c r="U10" s="3"/>
      <c r="V10" s="3"/>
      <c r="W10" s="3"/>
    </row>
    <row r="11" spans="1:25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/>
      <c r="M11" s="3" t="s">
        <v>1</v>
      </c>
      <c r="N11" s="3" t="s">
        <v>2</v>
      </c>
      <c r="O11" s="3" t="s">
        <v>3</v>
      </c>
      <c r="P11" s="3" t="s">
        <v>4</v>
      </c>
      <c r="Q11" s="3" t="s">
        <v>5</v>
      </c>
      <c r="R11" s="3" t="s">
        <v>6</v>
      </c>
      <c r="S11" s="3" t="s">
        <v>7</v>
      </c>
      <c r="T11" s="3" t="s">
        <v>8</v>
      </c>
      <c r="U11" s="3" t="s">
        <v>9</v>
      </c>
      <c r="V11" s="3" t="s">
        <v>10</v>
      </c>
      <c r="W11" s="3" t="s">
        <v>11</v>
      </c>
    </row>
    <row r="12" spans="1:25" x14ac:dyDescent="0.25">
      <c r="A12" s="3">
        <v>2.33</v>
      </c>
      <c r="B12" s="3">
        <v>5</v>
      </c>
      <c r="C12" s="3">
        <v>7</v>
      </c>
      <c r="D12" s="3">
        <v>8</v>
      </c>
      <c r="E12" s="3">
        <v>11</v>
      </c>
      <c r="F12" s="3">
        <v>16</v>
      </c>
      <c r="G12" s="3">
        <v>29</v>
      </c>
      <c r="H12" s="3">
        <v>38</v>
      </c>
      <c r="I12" s="3">
        <v>56</v>
      </c>
      <c r="J12" s="3">
        <v>74</v>
      </c>
      <c r="K12" s="3">
        <v>80</v>
      </c>
      <c r="L12" s="3"/>
      <c r="M12" s="3">
        <v>2.33</v>
      </c>
      <c r="N12" s="3">
        <f>B12*6</f>
        <v>30</v>
      </c>
      <c r="O12" s="3">
        <f>C12*3</f>
        <v>21</v>
      </c>
      <c r="P12" s="3">
        <f>D12*2</f>
        <v>16</v>
      </c>
      <c r="Q12" s="3">
        <f>E12</f>
        <v>11</v>
      </c>
      <c r="R12" s="3">
        <f>F12/2</f>
        <v>8</v>
      </c>
      <c r="S12" s="3">
        <f>G12/6</f>
        <v>4.833333333333333</v>
      </c>
      <c r="T12" s="3">
        <f>H12/12</f>
        <v>3.1666666666666665</v>
      </c>
      <c r="U12" s="3">
        <f>I12/24</f>
        <v>2.3333333333333335</v>
      </c>
      <c r="V12" s="3">
        <f>J12/48</f>
        <v>1.5416666666666667</v>
      </c>
      <c r="W12" s="3">
        <f>K12/72</f>
        <v>1.1111111111111112</v>
      </c>
    </row>
    <row r="13" spans="1:25" x14ac:dyDescent="0.25">
      <c r="A13" s="3">
        <v>5</v>
      </c>
      <c r="B13" s="3">
        <v>8</v>
      </c>
      <c r="C13" s="3">
        <v>12</v>
      </c>
      <c r="D13" s="3">
        <v>14</v>
      </c>
      <c r="E13" s="3">
        <v>18</v>
      </c>
      <c r="F13" s="3">
        <v>24</v>
      </c>
      <c r="G13" s="3">
        <v>40</v>
      </c>
      <c r="H13" s="3">
        <v>56</v>
      </c>
      <c r="I13" s="3">
        <v>82</v>
      </c>
      <c r="J13" s="3">
        <v>105</v>
      </c>
      <c r="K13" s="3">
        <v>112</v>
      </c>
      <c r="L13" s="3"/>
      <c r="M13" s="3">
        <v>5</v>
      </c>
      <c r="N13" s="3">
        <f t="shared" ref="N13:N17" si="12">B13*6</f>
        <v>48</v>
      </c>
      <c r="O13" s="3">
        <f t="shared" ref="O13:O17" si="13">C13*3</f>
        <v>36</v>
      </c>
      <c r="P13" s="3">
        <f t="shared" ref="P13:P17" si="14">D13*2</f>
        <v>28</v>
      </c>
      <c r="Q13" s="3">
        <f t="shared" ref="Q13:Q17" si="15">E13</f>
        <v>18</v>
      </c>
      <c r="R13" s="3">
        <f t="shared" ref="R13:R17" si="16">F13/2</f>
        <v>12</v>
      </c>
      <c r="S13" s="3">
        <f t="shared" ref="S13:S17" si="17">G13/6</f>
        <v>6.666666666666667</v>
      </c>
      <c r="T13" s="3">
        <f t="shared" ref="T13:T17" si="18">H13/12</f>
        <v>4.666666666666667</v>
      </c>
      <c r="U13" s="3">
        <f t="shared" ref="U13:U17" si="19">I13/24</f>
        <v>3.4166666666666665</v>
      </c>
      <c r="V13" s="3">
        <f t="shared" ref="V13:V17" si="20">J13/48</f>
        <v>2.1875</v>
      </c>
      <c r="W13" s="3">
        <f t="shared" ref="W13:W17" si="21">K13/72</f>
        <v>1.5555555555555556</v>
      </c>
    </row>
    <row r="14" spans="1:25" x14ac:dyDescent="0.25">
      <c r="A14" s="3">
        <v>10</v>
      </c>
      <c r="B14" s="3">
        <v>12</v>
      </c>
      <c r="C14" s="3">
        <v>17</v>
      </c>
      <c r="D14" s="3">
        <v>20</v>
      </c>
      <c r="E14" s="3">
        <v>25</v>
      </c>
      <c r="F14" s="3">
        <v>31</v>
      </c>
      <c r="G14" s="3">
        <v>51</v>
      </c>
      <c r="H14" s="3">
        <v>71</v>
      </c>
      <c r="I14" s="3">
        <v>105</v>
      </c>
      <c r="J14" s="3">
        <v>130</v>
      </c>
      <c r="K14" s="3">
        <v>139</v>
      </c>
      <c r="L14" s="3"/>
      <c r="M14" s="3">
        <v>10</v>
      </c>
      <c r="N14" s="3">
        <f t="shared" si="12"/>
        <v>72</v>
      </c>
      <c r="O14" s="3">
        <f t="shared" si="13"/>
        <v>51</v>
      </c>
      <c r="P14" s="3">
        <f t="shared" si="14"/>
        <v>40</v>
      </c>
      <c r="Q14" s="3">
        <f t="shared" si="15"/>
        <v>25</v>
      </c>
      <c r="R14" s="3">
        <f t="shared" si="16"/>
        <v>15.5</v>
      </c>
      <c r="S14" s="3">
        <f t="shared" si="17"/>
        <v>8.5</v>
      </c>
      <c r="T14" s="3">
        <f t="shared" si="18"/>
        <v>5.916666666666667</v>
      </c>
      <c r="U14" s="3">
        <f t="shared" si="19"/>
        <v>4.375</v>
      </c>
      <c r="V14" s="3">
        <f t="shared" si="20"/>
        <v>2.7083333333333335</v>
      </c>
      <c r="W14" s="3">
        <f t="shared" si="21"/>
        <v>1.9305555555555556</v>
      </c>
    </row>
    <row r="15" spans="1:25" x14ac:dyDescent="0.25">
      <c r="A15" s="3">
        <v>20</v>
      </c>
      <c r="B15" s="3">
        <v>15</v>
      </c>
      <c r="C15" s="3">
        <v>24</v>
      </c>
      <c r="D15" s="3">
        <v>27</v>
      </c>
      <c r="E15" s="3">
        <v>32</v>
      </c>
      <c r="F15" s="3">
        <v>39</v>
      </c>
      <c r="G15" s="3">
        <v>63</v>
      </c>
      <c r="H15" s="3">
        <v>88</v>
      </c>
      <c r="I15" s="3">
        <v>127</v>
      </c>
      <c r="J15" s="3">
        <v>154</v>
      </c>
      <c r="K15" s="3">
        <v>163</v>
      </c>
      <c r="L15" s="3"/>
      <c r="M15" s="3">
        <v>20</v>
      </c>
      <c r="N15" s="3">
        <f t="shared" si="12"/>
        <v>90</v>
      </c>
      <c r="O15" s="3">
        <f t="shared" si="13"/>
        <v>72</v>
      </c>
      <c r="P15" s="3">
        <f t="shared" si="14"/>
        <v>54</v>
      </c>
      <c r="Q15" s="3">
        <f t="shared" si="15"/>
        <v>32</v>
      </c>
      <c r="R15" s="3">
        <f t="shared" si="16"/>
        <v>19.5</v>
      </c>
      <c r="S15" s="3">
        <f t="shared" si="17"/>
        <v>10.5</v>
      </c>
      <c r="T15" s="3">
        <f t="shared" si="18"/>
        <v>7.333333333333333</v>
      </c>
      <c r="U15" s="3">
        <f t="shared" si="19"/>
        <v>5.291666666666667</v>
      </c>
      <c r="V15" s="3">
        <f t="shared" si="20"/>
        <v>3.2083333333333335</v>
      </c>
      <c r="W15" s="3">
        <f t="shared" si="21"/>
        <v>2.2638888888888888</v>
      </c>
    </row>
    <row r="16" spans="1:25" x14ac:dyDescent="0.25">
      <c r="A16" s="3">
        <v>50</v>
      </c>
      <c r="B16" s="3">
        <v>21</v>
      </c>
      <c r="C16" s="3">
        <v>34</v>
      </c>
      <c r="D16" s="3">
        <v>36</v>
      </c>
      <c r="E16" s="3">
        <v>42</v>
      </c>
      <c r="F16" s="3">
        <v>51</v>
      </c>
      <c r="G16" s="3">
        <v>79</v>
      </c>
      <c r="H16" s="3">
        <v>110</v>
      </c>
      <c r="I16" s="3">
        <v>157</v>
      </c>
      <c r="J16" s="3">
        <v>184</v>
      </c>
      <c r="K16" s="3">
        <v>194</v>
      </c>
      <c r="L16" s="3"/>
      <c r="M16" s="3">
        <v>50</v>
      </c>
      <c r="N16" s="3">
        <f t="shared" si="12"/>
        <v>126</v>
      </c>
      <c r="O16" s="3">
        <f t="shared" si="13"/>
        <v>102</v>
      </c>
      <c r="P16" s="3">
        <f t="shared" si="14"/>
        <v>72</v>
      </c>
      <c r="Q16" s="3">
        <f t="shared" si="15"/>
        <v>42</v>
      </c>
      <c r="R16" s="3">
        <f t="shared" si="16"/>
        <v>25.5</v>
      </c>
      <c r="S16" s="3">
        <f t="shared" si="17"/>
        <v>13.166666666666666</v>
      </c>
      <c r="T16" s="3">
        <f t="shared" si="18"/>
        <v>9.1666666666666661</v>
      </c>
      <c r="U16" s="3">
        <f t="shared" si="19"/>
        <v>6.541666666666667</v>
      </c>
      <c r="V16" s="3">
        <f t="shared" si="20"/>
        <v>3.8333333333333335</v>
      </c>
      <c r="W16" s="3">
        <f t="shared" si="21"/>
        <v>2.6944444444444446</v>
      </c>
    </row>
    <row r="17" spans="1:23" x14ac:dyDescent="0.25">
      <c r="A17" s="3">
        <v>100</v>
      </c>
      <c r="B17" s="3">
        <v>26</v>
      </c>
      <c r="C17" s="3">
        <v>41</v>
      </c>
      <c r="D17" s="3">
        <v>43</v>
      </c>
      <c r="E17" s="3">
        <v>50</v>
      </c>
      <c r="F17" s="3">
        <v>59</v>
      </c>
      <c r="G17" s="3">
        <v>90</v>
      </c>
      <c r="H17" s="3">
        <v>125</v>
      </c>
      <c r="I17" s="3">
        <v>176</v>
      </c>
      <c r="J17" s="3">
        <v>204</v>
      </c>
      <c r="K17" s="3">
        <v>215</v>
      </c>
      <c r="L17" s="3"/>
      <c r="M17" s="3">
        <v>100</v>
      </c>
      <c r="N17" s="3">
        <f t="shared" si="12"/>
        <v>156</v>
      </c>
      <c r="O17" s="3">
        <f t="shared" si="13"/>
        <v>123</v>
      </c>
      <c r="P17" s="3">
        <f t="shared" si="14"/>
        <v>86</v>
      </c>
      <c r="Q17" s="3">
        <f t="shared" si="15"/>
        <v>50</v>
      </c>
      <c r="R17" s="3">
        <f t="shared" si="16"/>
        <v>29.5</v>
      </c>
      <c r="S17" s="3">
        <f t="shared" si="17"/>
        <v>15</v>
      </c>
      <c r="T17" s="3">
        <f t="shared" si="18"/>
        <v>10.416666666666666</v>
      </c>
      <c r="U17" s="3">
        <f t="shared" si="19"/>
        <v>7.333333333333333</v>
      </c>
      <c r="V17" s="3">
        <f t="shared" si="20"/>
        <v>4.25</v>
      </c>
      <c r="W17" s="3">
        <f t="shared" si="21"/>
        <v>2.9861111111111112</v>
      </c>
    </row>
    <row r="19" spans="1:23" x14ac:dyDescent="0.25">
      <c r="A19" s="2" t="s">
        <v>12</v>
      </c>
      <c r="B19" s="2" t="str">
        <f>B28</f>
        <v>Design Rainfalls for Geraldine under projected climate change to 2090s (mm)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 t="s">
        <v>12</v>
      </c>
      <c r="N19" s="2" t="str">
        <f>N28</f>
        <v>Design Rainfalls for Geraldine under projected climate change to 2090s (mm/hr)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2" t="s">
        <v>1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  <c r="K20" s="2" t="s">
        <v>11</v>
      </c>
      <c r="L20" s="2"/>
      <c r="M20" s="2" t="s">
        <v>1</v>
      </c>
      <c r="N20" s="2" t="s">
        <v>2</v>
      </c>
      <c r="O20" s="2" t="s">
        <v>3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 t="s">
        <v>9</v>
      </c>
      <c r="V20" s="2" t="s">
        <v>10</v>
      </c>
      <c r="W20" s="2" t="s">
        <v>11</v>
      </c>
    </row>
    <row r="21" spans="1:23" x14ac:dyDescent="0.25">
      <c r="A21" s="2">
        <v>2.33</v>
      </c>
      <c r="B21" s="2">
        <f>B30</f>
        <v>6</v>
      </c>
      <c r="C21" s="2">
        <f t="shared" ref="C21:K21" si="22">C30</f>
        <v>7</v>
      </c>
      <c r="D21" s="2">
        <f t="shared" si="22"/>
        <v>9</v>
      </c>
      <c r="E21" s="2">
        <f t="shared" si="22"/>
        <v>14</v>
      </c>
      <c r="F21" s="2">
        <f t="shared" si="22"/>
        <v>20</v>
      </c>
      <c r="G21" s="2">
        <f t="shared" si="22"/>
        <v>36</v>
      </c>
      <c r="H21" s="2">
        <f t="shared" si="22"/>
        <v>50</v>
      </c>
      <c r="I21" s="2">
        <f t="shared" si="22"/>
        <v>68</v>
      </c>
      <c r="J21" s="2">
        <f t="shared" si="22"/>
        <v>84</v>
      </c>
      <c r="K21" s="2">
        <f t="shared" si="22"/>
        <v>90</v>
      </c>
      <c r="L21" s="2"/>
      <c r="M21" s="2">
        <v>2.33</v>
      </c>
      <c r="N21" s="2">
        <f>B21*6</f>
        <v>36</v>
      </c>
      <c r="O21" s="2">
        <f>C21*3</f>
        <v>21</v>
      </c>
      <c r="P21" s="2">
        <f>D21*2</f>
        <v>18</v>
      </c>
      <c r="Q21" s="2">
        <f>E21</f>
        <v>14</v>
      </c>
      <c r="R21" s="2">
        <f>F21/2</f>
        <v>10</v>
      </c>
      <c r="S21" s="2">
        <f>G21/6</f>
        <v>6</v>
      </c>
      <c r="T21" s="2">
        <f>H21/12</f>
        <v>4.166666666666667</v>
      </c>
      <c r="U21" s="2">
        <f>I21/24</f>
        <v>2.8333333333333335</v>
      </c>
      <c r="V21" s="2">
        <f>J21/48</f>
        <v>1.75</v>
      </c>
      <c r="W21" s="2">
        <f>K21/72</f>
        <v>1.25</v>
      </c>
    </row>
    <row r="22" spans="1:23" x14ac:dyDescent="0.25">
      <c r="A22" s="2">
        <v>5</v>
      </c>
      <c r="B22" s="2">
        <f t="shared" ref="B22:K26" si="23">B31</f>
        <v>7</v>
      </c>
      <c r="C22" s="2">
        <f t="shared" si="23"/>
        <v>10</v>
      </c>
      <c r="D22" s="2">
        <f t="shared" si="23"/>
        <v>14</v>
      </c>
      <c r="E22" s="2">
        <f t="shared" si="23"/>
        <v>21</v>
      </c>
      <c r="F22" s="2">
        <f t="shared" si="23"/>
        <v>27</v>
      </c>
      <c r="G22" s="2">
        <f t="shared" si="23"/>
        <v>50</v>
      </c>
      <c r="H22" s="2">
        <f t="shared" si="23"/>
        <v>68</v>
      </c>
      <c r="I22" s="2">
        <f t="shared" si="23"/>
        <v>92</v>
      </c>
      <c r="J22" s="2">
        <f t="shared" si="23"/>
        <v>117</v>
      </c>
      <c r="K22" s="2">
        <f t="shared" si="23"/>
        <v>126</v>
      </c>
      <c r="L22" s="2"/>
      <c r="M22" s="2">
        <v>5</v>
      </c>
      <c r="N22" s="2">
        <f t="shared" ref="N22:N26" si="24">B22*6</f>
        <v>42</v>
      </c>
      <c r="O22" s="2">
        <f t="shared" ref="O22:O26" si="25">C22*3</f>
        <v>30</v>
      </c>
      <c r="P22" s="2">
        <f t="shared" ref="P22:P26" si="26">D22*2</f>
        <v>28</v>
      </c>
      <c r="Q22" s="2">
        <f t="shared" ref="Q22:Q26" si="27">E22</f>
        <v>21</v>
      </c>
      <c r="R22" s="2">
        <f t="shared" ref="R22:R26" si="28">F22/2</f>
        <v>13.5</v>
      </c>
      <c r="S22" s="2">
        <f t="shared" ref="S22:S26" si="29">G22/6</f>
        <v>8.3333333333333339</v>
      </c>
      <c r="T22" s="2">
        <f t="shared" ref="T22:T26" si="30">H22/12</f>
        <v>5.666666666666667</v>
      </c>
      <c r="U22" s="2">
        <f t="shared" ref="U22:U26" si="31">I22/24</f>
        <v>3.8333333333333335</v>
      </c>
      <c r="V22" s="2">
        <f t="shared" ref="V22:V26" si="32">J22/48</f>
        <v>2.4375</v>
      </c>
      <c r="W22" s="2">
        <f t="shared" ref="W22:W26" si="33">K22/72</f>
        <v>1.75</v>
      </c>
    </row>
    <row r="23" spans="1:23" x14ac:dyDescent="0.25">
      <c r="A23" s="2">
        <v>10</v>
      </c>
      <c r="B23" s="2">
        <f t="shared" si="23"/>
        <v>10</v>
      </c>
      <c r="C23" s="2">
        <f t="shared" si="23"/>
        <v>14</v>
      </c>
      <c r="D23" s="2">
        <f t="shared" si="23"/>
        <v>17</v>
      </c>
      <c r="E23" s="2">
        <f t="shared" si="23"/>
        <v>26</v>
      </c>
      <c r="F23" s="2">
        <f t="shared" si="23"/>
        <v>37</v>
      </c>
      <c r="G23" s="2">
        <f t="shared" si="23"/>
        <v>62</v>
      </c>
      <c r="H23" s="2">
        <f t="shared" si="23"/>
        <v>84</v>
      </c>
      <c r="I23" s="2">
        <f t="shared" si="23"/>
        <v>115</v>
      </c>
      <c r="J23" s="2">
        <f t="shared" si="23"/>
        <v>147</v>
      </c>
      <c r="K23" s="2">
        <f t="shared" si="23"/>
        <v>158</v>
      </c>
      <c r="L23" s="2"/>
      <c r="M23" s="2">
        <v>10</v>
      </c>
      <c r="N23" s="2">
        <f t="shared" si="24"/>
        <v>60</v>
      </c>
      <c r="O23" s="2">
        <f t="shared" si="25"/>
        <v>42</v>
      </c>
      <c r="P23" s="2">
        <f t="shared" si="26"/>
        <v>34</v>
      </c>
      <c r="Q23" s="2">
        <f t="shared" si="27"/>
        <v>26</v>
      </c>
      <c r="R23" s="2">
        <f t="shared" si="28"/>
        <v>18.5</v>
      </c>
      <c r="S23" s="2">
        <f t="shared" si="29"/>
        <v>10.333333333333334</v>
      </c>
      <c r="T23" s="2">
        <f t="shared" si="30"/>
        <v>7</v>
      </c>
      <c r="U23" s="2">
        <f t="shared" si="31"/>
        <v>4.791666666666667</v>
      </c>
      <c r="V23" s="2">
        <f t="shared" si="32"/>
        <v>3.0625</v>
      </c>
      <c r="W23" s="2">
        <f t="shared" si="33"/>
        <v>2.1944444444444446</v>
      </c>
    </row>
    <row r="24" spans="1:23" x14ac:dyDescent="0.25">
      <c r="A24" s="2">
        <v>20</v>
      </c>
      <c r="B24" s="2">
        <f t="shared" si="23"/>
        <v>12</v>
      </c>
      <c r="C24" s="2">
        <f t="shared" si="23"/>
        <v>16</v>
      </c>
      <c r="D24" s="2">
        <f t="shared" si="23"/>
        <v>22</v>
      </c>
      <c r="E24" s="2">
        <f t="shared" si="23"/>
        <v>32</v>
      </c>
      <c r="F24" s="2">
        <f t="shared" si="23"/>
        <v>44</v>
      </c>
      <c r="G24" s="2">
        <f t="shared" si="23"/>
        <v>75</v>
      </c>
      <c r="H24" s="2">
        <f t="shared" si="23"/>
        <v>100</v>
      </c>
      <c r="I24" s="2">
        <f t="shared" si="23"/>
        <v>136</v>
      </c>
      <c r="J24" s="2">
        <f t="shared" si="23"/>
        <v>176</v>
      </c>
      <c r="K24" s="2">
        <f t="shared" si="23"/>
        <v>188</v>
      </c>
      <c r="L24" s="2"/>
      <c r="M24" s="2">
        <v>20</v>
      </c>
      <c r="N24" s="2">
        <f t="shared" si="24"/>
        <v>72</v>
      </c>
      <c r="O24" s="2">
        <f t="shared" si="25"/>
        <v>48</v>
      </c>
      <c r="P24" s="2">
        <f t="shared" si="26"/>
        <v>44</v>
      </c>
      <c r="Q24" s="2">
        <f t="shared" si="27"/>
        <v>32</v>
      </c>
      <c r="R24" s="2">
        <f t="shared" si="28"/>
        <v>22</v>
      </c>
      <c r="S24" s="2">
        <f t="shared" si="29"/>
        <v>12.5</v>
      </c>
      <c r="T24" s="2">
        <f t="shared" si="30"/>
        <v>8.3333333333333339</v>
      </c>
      <c r="U24" s="2">
        <f t="shared" si="31"/>
        <v>5.666666666666667</v>
      </c>
      <c r="V24" s="2">
        <f t="shared" si="32"/>
        <v>3.6666666666666665</v>
      </c>
      <c r="W24" s="2">
        <f t="shared" si="33"/>
        <v>2.6111111111111112</v>
      </c>
    </row>
    <row r="25" spans="1:23" x14ac:dyDescent="0.25">
      <c r="A25" s="2">
        <v>50</v>
      </c>
      <c r="B25" s="2">
        <f t="shared" si="23"/>
        <v>14</v>
      </c>
      <c r="C25" s="2">
        <f t="shared" si="23"/>
        <v>21</v>
      </c>
      <c r="D25" s="2">
        <f t="shared" si="23"/>
        <v>27</v>
      </c>
      <c r="E25" s="2">
        <f t="shared" si="23"/>
        <v>42</v>
      </c>
      <c r="F25" s="2">
        <f t="shared" si="23"/>
        <v>55</v>
      </c>
      <c r="G25" s="2">
        <f t="shared" si="23"/>
        <v>94</v>
      </c>
      <c r="H25" s="2">
        <f t="shared" si="23"/>
        <v>122</v>
      </c>
      <c r="I25" s="2">
        <f t="shared" si="23"/>
        <v>165</v>
      </c>
      <c r="J25" s="2">
        <f t="shared" si="23"/>
        <v>211</v>
      </c>
      <c r="K25" s="2">
        <f t="shared" si="23"/>
        <v>227</v>
      </c>
      <c r="L25" s="2"/>
      <c r="M25" s="2">
        <v>50</v>
      </c>
      <c r="N25" s="2">
        <f t="shared" si="24"/>
        <v>84</v>
      </c>
      <c r="O25" s="2">
        <f t="shared" si="25"/>
        <v>63</v>
      </c>
      <c r="P25" s="2">
        <f t="shared" si="26"/>
        <v>54</v>
      </c>
      <c r="Q25" s="2">
        <f t="shared" si="27"/>
        <v>42</v>
      </c>
      <c r="R25" s="2">
        <f t="shared" si="28"/>
        <v>27.5</v>
      </c>
      <c r="S25" s="2">
        <f t="shared" si="29"/>
        <v>15.666666666666666</v>
      </c>
      <c r="T25" s="2">
        <f t="shared" si="30"/>
        <v>10.166666666666666</v>
      </c>
      <c r="U25" s="2">
        <f t="shared" si="31"/>
        <v>6.875</v>
      </c>
      <c r="V25" s="2">
        <f t="shared" si="32"/>
        <v>4.395833333333333</v>
      </c>
      <c r="W25" s="2">
        <f t="shared" si="33"/>
        <v>3.1527777777777777</v>
      </c>
    </row>
    <row r="26" spans="1:23" x14ac:dyDescent="0.25">
      <c r="A26" s="2">
        <v>100</v>
      </c>
      <c r="B26" s="2">
        <f t="shared" si="23"/>
        <v>16</v>
      </c>
      <c r="C26" s="2">
        <f t="shared" si="23"/>
        <v>23</v>
      </c>
      <c r="D26" s="2">
        <f t="shared" si="23"/>
        <v>31</v>
      </c>
      <c r="E26" s="2">
        <f t="shared" si="23"/>
        <v>48</v>
      </c>
      <c r="F26" s="2">
        <f t="shared" si="23"/>
        <v>63</v>
      </c>
      <c r="G26" s="2">
        <f t="shared" si="23"/>
        <v>106</v>
      </c>
      <c r="H26" s="2">
        <f t="shared" si="23"/>
        <v>137</v>
      </c>
      <c r="I26" s="2">
        <f t="shared" si="23"/>
        <v>186</v>
      </c>
      <c r="J26" s="2">
        <f t="shared" si="23"/>
        <v>237</v>
      </c>
      <c r="K26" s="2">
        <f t="shared" si="23"/>
        <v>254</v>
      </c>
      <c r="L26" s="2"/>
      <c r="M26" s="2">
        <v>100</v>
      </c>
      <c r="N26" s="2">
        <f t="shared" si="24"/>
        <v>96</v>
      </c>
      <c r="O26" s="2">
        <f t="shared" si="25"/>
        <v>69</v>
      </c>
      <c r="P26" s="2">
        <f t="shared" si="26"/>
        <v>62</v>
      </c>
      <c r="Q26" s="2">
        <f t="shared" si="27"/>
        <v>48</v>
      </c>
      <c r="R26" s="2">
        <f t="shared" si="28"/>
        <v>31.5</v>
      </c>
      <c r="S26" s="2">
        <f t="shared" si="29"/>
        <v>17.666666666666668</v>
      </c>
      <c r="T26" s="2">
        <f t="shared" si="30"/>
        <v>11.416666666666666</v>
      </c>
      <c r="U26" s="2">
        <f t="shared" si="31"/>
        <v>7.75</v>
      </c>
      <c r="V26" s="2">
        <f t="shared" si="32"/>
        <v>4.9375</v>
      </c>
      <c r="W26" s="2">
        <f t="shared" si="33"/>
        <v>3.5277777777777777</v>
      </c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 t="s">
        <v>12</v>
      </c>
      <c r="B28" s="2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 t="s">
        <v>12</v>
      </c>
      <c r="N28" s="2" t="s">
        <v>20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 t="s">
        <v>1</v>
      </c>
      <c r="B29" s="2" t="s">
        <v>2</v>
      </c>
      <c r="C29" s="2" t="s">
        <v>3</v>
      </c>
      <c r="D29" s="2" t="s">
        <v>4</v>
      </c>
      <c r="E29" s="2" t="s">
        <v>5</v>
      </c>
      <c r="F29" s="2" t="s">
        <v>6</v>
      </c>
      <c r="G29" s="2" t="s">
        <v>7</v>
      </c>
      <c r="H29" s="2" t="s">
        <v>8</v>
      </c>
      <c r="I29" s="2" t="s">
        <v>9</v>
      </c>
      <c r="J29" s="2" t="s">
        <v>10</v>
      </c>
      <c r="K29" s="2" t="s">
        <v>11</v>
      </c>
      <c r="L29" s="2"/>
      <c r="M29" s="2" t="s">
        <v>1</v>
      </c>
      <c r="N29" s="2" t="s">
        <v>2</v>
      </c>
      <c r="O29" s="2" t="s">
        <v>3</v>
      </c>
      <c r="P29" s="2" t="s">
        <v>4</v>
      </c>
      <c r="Q29" s="2" t="s">
        <v>5</v>
      </c>
      <c r="R29" s="2" t="s">
        <v>6</v>
      </c>
      <c r="S29" s="2" t="s">
        <v>7</v>
      </c>
      <c r="T29" s="2" t="s">
        <v>8</v>
      </c>
      <c r="U29" s="2" t="s">
        <v>9</v>
      </c>
      <c r="V29" s="2" t="s">
        <v>10</v>
      </c>
      <c r="W29" s="2" t="s">
        <v>11</v>
      </c>
    </row>
    <row r="30" spans="1:23" x14ac:dyDescent="0.25">
      <c r="A30" s="2">
        <v>2.33</v>
      </c>
      <c r="B30" s="2">
        <v>6</v>
      </c>
      <c r="C30" s="2">
        <v>7</v>
      </c>
      <c r="D30" s="2">
        <v>9</v>
      </c>
      <c r="E30" s="2">
        <v>14</v>
      </c>
      <c r="F30" s="2">
        <v>20</v>
      </c>
      <c r="G30" s="2">
        <v>36</v>
      </c>
      <c r="H30" s="2">
        <v>50</v>
      </c>
      <c r="I30" s="2">
        <v>68</v>
      </c>
      <c r="J30" s="2">
        <v>84</v>
      </c>
      <c r="K30" s="2">
        <v>90</v>
      </c>
      <c r="L30" s="2"/>
      <c r="M30" s="2">
        <v>2.33</v>
      </c>
      <c r="N30" s="2">
        <f>B30*6</f>
        <v>36</v>
      </c>
      <c r="O30" s="2">
        <f>C30*3</f>
        <v>21</v>
      </c>
      <c r="P30" s="2">
        <f>D30*2</f>
        <v>18</v>
      </c>
      <c r="Q30" s="2">
        <f>E30</f>
        <v>14</v>
      </c>
      <c r="R30" s="2">
        <f>F30/2</f>
        <v>10</v>
      </c>
      <c r="S30" s="2">
        <f>G30/6</f>
        <v>6</v>
      </c>
      <c r="T30" s="2">
        <f>H30/12</f>
        <v>4.166666666666667</v>
      </c>
      <c r="U30" s="2">
        <f>I30/24</f>
        <v>2.8333333333333335</v>
      </c>
      <c r="V30" s="2">
        <f>J30/48</f>
        <v>1.75</v>
      </c>
      <c r="W30" s="2">
        <f>K30/72</f>
        <v>1.25</v>
      </c>
    </row>
    <row r="31" spans="1:23" x14ac:dyDescent="0.25">
      <c r="A31" s="2">
        <v>5</v>
      </c>
      <c r="B31" s="2">
        <v>7</v>
      </c>
      <c r="C31" s="2">
        <v>10</v>
      </c>
      <c r="D31" s="2">
        <v>14</v>
      </c>
      <c r="E31" s="2">
        <v>21</v>
      </c>
      <c r="F31" s="2">
        <v>27</v>
      </c>
      <c r="G31" s="2">
        <v>50</v>
      </c>
      <c r="H31" s="2">
        <v>68</v>
      </c>
      <c r="I31" s="2">
        <v>92</v>
      </c>
      <c r="J31" s="2">
        <v>117</v>
      </c>
      <c r="K31" s="2">
        <v>126</v>
      </c>
      <c r="L31" s="2"/>
      <c r="M31" s="2">
        <v>5</v>
      </c>
      <c r="N31" s="2">
        <f t="shared" ref="N31:N35" si="34">B31*6</f>
        <v>42</v>
      </c>
      <c r="O31" s="2">
        <f t="shared" ref="O31:O35" si="35">C31*3</f>
        <v>30</v>
      </c>
      <c r="P31" s="2">
        <f t="shared" ref="P31:P35" si="36">D31*2</f>
        <v>28</v>
      </c>
      <c r="Q31" s="2">
        <f t="shared" ref="Q31:Q35" si="37">E31</f>
        <v>21</v>
      </c>
      <c r="R31" s="2">
        <f t="shared" ref="R31:R35" si="38">F31/2</f>
        <v>13.5</v>
      </c>
      <c r="S31" s="2">
        <f t="shared" ref="S31:S35" si="39">G31/6</f>
        <v>8.3333333333333339</v>
      </c>
      <c r="T31" s="2">
        <f t="shared" ref="T31:T35" si="40">H31/12</f>
        <v>5.666666666666667</v>
      </c>
      <c r="U31" s="2">
        <f t="shared" ref="U31:U35" si="41">I31/24</f>
        <v>3.8333333333333335</v>
      </c>
      <c r="V31" s="2">
        <f t="shared" ref="V31:V35" si="42">J31/48</f>
        <v>2.4375</v>
      </c>
      <c r="W31" s="2">
        <f t="shared" ref="W31:W35" si="43">K31/72</f>
        <v>1.75</v>
      </c>
    </row>
    <row r="32" spans="1:23" x14ac:dyDescent="0.25">
      <c r="A32" s="2">
        <v>10</v>
      </c>
      <c r="B32" s="2">
        <v>10</v>
      </c>
      <c r="C32" s="2">
        <v>14</v>
      </c>
      <c r="D32" s="2">
        <v>17</v>
      </c>
      <c r="E32" s="2">
        <v>26</v>
      </c>
      <c r="F32" s="2">
        <v>37</v>
      </c>
      <c r="G32" s="2">
        <v>62</v>
      </c>
      <c r="H32" s="2">
        <v>84</v>
      </c>
      <c r="I32" s="2">
        <v>115</v>
      </c>
      <c r="J32" s="2">
        <v>147</v>
      </c>
      <c r="K32" s="2">
        <v>158</v>
      </c>
      <c r="L32" s="2"/>
      <c r="M32" s="2">
        <v>10</v>
      </c>
      <c r="N32" s="2">
        <f t="shared" si="34"/>
        <v>60</v>
      </c>
      <c r="O32" s="2">
        <f t="shared" si="35"/>
        <v>42</v>
      </c>
      <c r="P32" s="2">
        <f t="shared" si="36"/>
        <v>34</v>
      </c>
      <c r="Q32" s="2">
        <f t="shared" si="37"/>
        <v>26</v>
      </c>
      <c r="R32" s="2">
        <f t="shared" si="38"/>
        <v>18.5</v>
      </c>
      <c r="S32" s="2">
        <f t="shared" si="39"/>
        <v>10.333333333333334</v>
      </c>
      <c r="T32" s="2">
        <f t="shared" si="40"/>
        <v>7</v>
      </c>
      <c r="U32" s="2">
        <f t="shared" si="41"/>
        <v>4.791666666666667</v>
      </c>
      <c r="V32" s="2">
        <f t="shared" si="42"/>
        <v>3.0625</v>
      </c>
      <c r="W32" s="2">
        <f t="shared" si="43"/>
        <v>2.1944444444444446</v>
      </c>
    </row>
    <row r="33" spans="1:23" x14ac:dyDescent="0.25">
      <c r="A33" s="2">
        <v>20</v>
      </c>
      <c r="B33" s="2">
        <v>12</v>
      </c>
      <c r="C33" s="2">
        <v>16</v>
      </c>
      <c r="D33" s="2">
        <v>22</v>
      </c>
      <c r="E33" s="2">
        <v>32</v>
      </c>
      <c r="F33" s="2">
        <v>44</v>
      </c>
      <c r="G33" s="2">
        <v>75</v>
      </c>
      <c r="H33" s="2">
        <v>100</v>
      </c>
      <c r="I33" s="2">
        <v>136</v>
      </c>
      <c r="J33" s="2">
        <v>176</v>
      </c>
      <c r="K33" s="2">
        <v>188</v>
      </c>
      <c r="L33" s="2"/>
      <c r="M33" s="2">
        <v>20</v>
      </c>
      <c r="N33" s="2">
        <f t="shared" si="34"/>
        <v>72</v>
      </c>
      <c r="O33" s="2">
        <f t="shared" si="35"/>
        <v>48</v>
      </c>
      <c r="P33" s="2">
        <f t="shared" si="36"/>
        <v>44</v>
      </c>
      <c r="Q33" s="2">
        <f t="shared" si="37"/>
        <v>32</v>
      </c>
      <c r="R33" s="2">
        <f t="shared" si="38"/>
        <v>22</v>
      </c>
      <c r="S33" s="2">
        <f t="shared" si="39"/>
        <v>12.5</v>
      </c>
      <c r="T33" s="2">
        <f t="shared" si="40"/>
        <v>8.3333333333333339</v>
      </c>
      <c r="U33" s="2">
        <f t="shared" si="41"/>
        <v>5.666666666666667</v>
      </c>
      <c r="V33" s="2">
        <f t="shared" si="42"/>
        <v>3.6666666666666665</v>
      </c>
      <c r="W33" s="2">
        <f t="shared" si="43"/>
        <v>2.6111111111111112</v>
      </c>
    </row>
    <row r="34" spans="1:23" x14ac:dyDescent="0.25">
      <c r="A34" s="2">
        <v>50</v>
      </c>
      <c r="B34" s="2">
        <v>14</v>
      </c>
      <c r="C34" s="2">
        <v>21</v>
      </c>
      <c r="D34" s="2">
        <v>27</v>
      </c>
      <c r="E34" s="2">
        <v>42</v>
      </c>
      <c r="F34" s="2">
        <v>55</v>
      </c>
      <c r="G34" s="2">
        <v>94</v>
      </c>
      <c r="H34" s="2">
        <v>122</v>
      </c>
      <c r="I34" s="2">
        <v>165</v>
      </c>
      <c r="J34" s="2">
        <v>211</v>
      </c>
      <c r="K34" s="2">
        <v>227</v>
      </c>
      <c r="L34" s="2"/>
      <c r="M34" s="2">
        <v>50</v>
      </c>
      <c r="N34" s="2">
        <f t="shared" si="34"/>
        <v>84</v>
      </c>
      <c r="O34" s="2">
        <f t="shared" si="35"/>
        <v>63</v>
      </c>
      <c r="P34" s="2">
        <f t="shared" si="36"/>
        <v>54</v>
      </c>
      <c r="Q34" s="2">
        <f t="shared" si="37"/>
        <v>42</v>
      </c>
      <c r="R34" s="2">
        <f t="shared" si="38"/>
        <v>27.5</v>
      </c>
      <c r="S34" s="2">
        <f t="shared" si="39"/>
        <v>15.666666666666666</v>
      </c>
      <c r="T34" s="2">
        <f t="shared" si="40"/>
        <v>10.166666666666666</v>
      </c>
      <c r="U34" s="2">
        <f t="shared" si="41"/>
        <v>6.875</v>
      </c>
      <c r="V34" s="2">
        <f t="shared" si="42"/>
        <v>4.395833333333333</v>
      </c>
      <c r="W34" s="2">
        <f t="shared" si="43"/>
        <v>3.1527777777777777</v>
      </c>
    </row>
    <row r="35" spans="1:23" x14ac:dyDescent="0.25">
      <c r="A35" s="2">
        <v>100</v>
      </c>
      <c r="B35" s="2">
        <v>16</v>
      </c>
      <c r="C35" s="2">
        <v>23</v>
      </c>
      <c r="D35" s="2">
        <v>31</v>
      </c>
      <c r="E35" s="2">
        <v>48</v>
      </c>
      <c r="F35" s="2">
        <v>63</v>
      </c>
      <c r="G35" s="2">
        <v>106</v>
      </c>
      <c r="H35" s="2">
        <v>137</v>
      </c>
      <c r="I35" s="2">
        <v>186</v>
      </c>
      <c r="J35" s="2">
        <v>237</v>
      </c>
      <c r="K35" s="2">
        <v>254</v>
      </c>
      <c r="L35" s="2"/>
      <c r="M35" s="2">
        <v>100</v>
      </c>
      <c r="N35" s="2">
        <f t="shared" si="34"/>
        <v>96</v>
      </c>
      <c r="O35" s="2">
        <f t="shared" si="35"/>
        <v>69</v>
      </c>
      <c r="P35" s="2">
        <f t="shared" si="36"/>
        <v>62</v>
      </c>
      <c r="Q35" s="2">
        <f t="shared" si="37"/>
        <v>48</v>
      </c>
      <c r="R35" s="2">
        <f t="shared" si="38"/>
        <v>31.5</v>
      </c>
      <c r="S35" s="2">
        <f t="shared" si="39"/>
        <v>17.666666666666668</v>
      </c>
      <c r="T35" s="2">
        <f t="shared" si="40"/>
        <v>11.416666666666666</v>
      </c>
      <c r="U35" s="2">
        <f t="shared" si="41"/>
        <v>7.75</v>
      </c>
      <c r="V35" s="2">
        <f t="shared" si="42"/>
        <v>4.9375</v>
      </c>
      <c r="W35" s="2">
        <f t="shared" si="43"/>
        <v>3.5277777777777777</v>
      </c>
    </row>
    <row r="37" spans="1:23" x14ac:dyDescent="0.25">
      <c r="A37" s="1" t="s">
        <v>14</v>
      </c>
      <c r="B37" s="1" t="str">
        <f>B46</f>
        <v>Design Rainfalls for Temuka under projected climate change to 2090s (mm)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 t="s">
        <v>14</v>
      </c>
      <c r="N37" s="1" t="str">
        <f>N46</f>
        <v>Design Rainfalls for Temuka under projected climate change to 2090s (mm/hr)</v>
      </c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 t="s">
        <v>1</v>
      </c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/>
      <c r="M38" s="1" t="s">
        <v>1</v>
      </c>
      <c r="N38" s="1" t="s">
        <v>2</v>
      </c>
      <c r="O38" s="1" t="s">
        <v>3</v>
      </c>
      <c r="P38" s="1" t="s">
        <v>4</v>
      </c>
      <c r="Q38" s="1" t="s">
        <v>5</v>
      </c>
      <c r="R38" s="1" t="s">
        <v>6</v>
      </c>
      <c r="S38" s="1" t="s">
        <v>7</v>
      </c>
      <c r="T38" s="1" t="s">
        <v>8</v>
      </c>
      <c r="U38" s="1" t="s">
        <v>9</v>
      </c>
      <c r="V38" s="1" t="s">
        <v>10</v>
      </c>
      <c r="W38" s="1" t="s">
        <v>11</v>
      </c>
    </row>
    <row r="39" spans="1:23" x14ac:dyDescent="0.25">
      <c r="A39" s="1">
        <v>2.33</v>
      </c>
      <c r="B39" s="1">
        <f>B48</f>
        <v>5</v>
      </c>
      <c r="C39" s="1">
        <f t="shared" ref="C39:K39" si="44">C48</f>
        <v>6</v>
      </c>
      <c r="D39" s="1">
        <f t="shared" si="44"/>
        <v>7</v>
      </c>
      <c r="E39" s="1">
        <f t="shared" si="44"/>
        <v>10</v>
      </c>
      <c r="F39" s="1">
        <f t="shared" si="44"/>
        <v>16</v>
      </c>
      <c r="G39" s="1">
        <f t="shared" si="44"/>
        <v>29</v>
      </c>
      <c r="H39" s="1">
        <f t="shared" si="44"/>
        <v>39</v>
      </c>
      <c r="I39" s="1">
        <f t="shared" si="44"/>
        <v>53</v>
      </c>
      <c r="J39" s="1">
        <f t="shared" si="44"/>
        <v>66</v>
      </c>
      <c r="K39" s="1">
        <f t="shared" si="44"/>
        <v>71</v>
      </c>
      <c r="L39" s="1"/>
      <c r="M39" s="1">
        <v>2.33</v>
      </c>
      <c r="N39" s="1">
        <f>B39*6</f>
        <v>30</v>
      </c>
      <c r="O39" s="1">
        <f>C39*3</f>
        <v>18</v>
      </c>
      <c r="P39" s="1">
        <f>D39*2</f>
        <v>14</v>
      </c>
      <c r="Q39" s="1">
        <f>E39</f>
        <v>10</v>
      </c>
      <c r="R39" s="1">
        <f>F39/2</f>
        <v>8</v>
      </c>
      <c r="S39" s="1">
        <f>G39/6</f>
        <v>4.833333333333333</v>
      </c>
      <c r="T39" s="1">
        <f>H39/12</f>
        <v>3.25</v>
      </c>
      <c r="U39" s="1">
        <f>I39/24</f>
        <v>2.2083333333333335</v>
      </c>
      <c r="V39" s="1">
        <f>J39/48</f>
        <v>1.375</v>
      </c>
      <c r="W39" s="1">
        <f>K39/72</f>
        <v>0.98611111111111116</v>
      </c>
    </row>
    <row r="40" spans="1:23" x14ac:dyDescent="0.25">
      <c r="A40" s="1">
        <v>5</v>
      </c>
      <c r="B40" s="1">
        <f t="shared" ref="B40:K40" si="45">B49</f>
        <v>6</v>
      </c>
      <c r="C40" s="1">
        <f t="shared" si="45"/>
        <v>8</v>
      </c>
      <c r="D40" s="1">
        <f t="shared" si="45"/>
        <v>10</v>
      </c>
      <c r="E40" s="1">
        <f t="shared" si="45"/>
        <v>16</v>
      </c>
      <c r="F40" s="1">
        <f t="shared" si="45"/>
        <v>22</v>
      </c>
      <c r="G40" s="1">
        <f t="shared" si="45"/>
        <v>39</v>
      </c>
      <c r="H40" s="1">
        <f t="shared" si="45"/>
        <v>54</v>
      </c>
      <c r="I40" s="1">
        <f t="shared" si="45"/>
        <v>72</v>
      </c>
      <c r="J40" s="1">
        <f t="shared" si="45"/>
        <v>91</v>
      </c>
      <c r="K40" s="1">
        <f t="shared" si="45"/>
        <v>99</v>
      </c>
      <c r="L40" s="1"/>
      <c r="M40" s="1">
        <v>5</v>
      </c>
      <c r="N40" s="1">
        <f t="shared" ref="N40:N44" si="46">B40*6</f>
        <v>36</v>
      </c>
      <c r="O40" s="1">
        <f t="shared" ref="O40:O44" si="47">C40*3</f>
        <v>24</v>
      </c>
      <c r="P40" s="1">
        <f t="shared" ref="P40:P44" si="48">D40*2</f>
        <v>20</v>
      </c>
      <c r="Q40" s="1">
        <f t="shared" ref="Q40:Q44" si="49">E40</f>
        <v>16</v>
      </c>
      <c r="R40" s="1">
        <f t="shared" ref="R40:R44" si="50">F40/2</f>
        <v>11</v>
      </c>
      <c r="S40" s="1">
        <f t="shared" ref="S40:S44" si="51">G40/6</f>
        <v>6.5</v>
      </c>
      <c r="T40" s="1">
        <f t="shared" ref="T40:T44" si="52">H40/12</f>
        <v>4.5</v>
      </c>
      <c r="U40" s="1">
        <f t="shared" ref="U40:U44" si="53">I40/24</f>
        <v>3</v>
      </c>
      <c r="V40" s="1">
        <f t="shared" ref="V40:V44" si="54">J40/48</f>
        <v>1.8958333333333333</v>
      </c>
      <c r="W40" s="1">
        <f t="shared" ref="W40:W44" si="55">K40/72</f>
        <v>1.375</v>
      </c>
    </row>
    <row r="41" spans="1:23" x14ac:dyDescent="0.25">
      <c r="A41" s="1">
        <v>10</v>
      </c>
      <c r="B41" s="1">
        <f t="shared" ref="B41:K41" si="56">B50</f>
        <v>8</v>
      </c>
      <c r="C41" s="1">
        <f t="shared" si="56"/>
        <v>10</v>
      </c>
      <c r="D41" s="1">
        <f t="shared" si="56"/>
        <v>14</v>
      </c>
      <c r="E41" s="1">
        <f t="shared" si="56"/>
        <v>21</v>
      </c>
      <c r="F41" s="1">
        <f t="shared" si="56"/>
        <v>29</v>
      </c>
      <c r="G41" s="1">
        <f t="shared" si="56"/>
        <v>49</v>
      </c>
      <c r="H41" s="1">
        <f t="shared" si="56"/>
        <v>66</v>
      </c>
      <c r="I41" s="1">
        <f t="shared" si="56"/>
        <v>90</v>
      </c>
      <c r="J41" s="1">
        <f t="shared" si="56"/>
        <v>114</v>
      </c>
      <c r="K41" s="1">
        <f t="shared" si="56"/>
        <v>123</v>
      </c>
      <c r="L41" s="1"/>
      <c r="M41" s="1">
        <v>10</v>
      </c>
      <c r="N41" s="1">
        <f t="shared" si="46"/>
        <v>48</v>
      </c>
      <c r="O41" s="1">
        <f t="shared" si="47"/>
        <v>30</v>
      </c>
      <c r="P41" s="1">
        <f t="shared" si="48"/>
        <v>28</v>
      </c>
      <c r="Q41" s="1">
        <f t="shared" si="49"/>
        <v>21</v>
      </c>
      <c r="R41" s="1">
        <f t="shared" si="50"/>
        <v>14.5</v>
      </c>
      <c r="S41" s="1">
        <f t="shared" si="51"/>
        <v>8.1666666666666661</v>
      </c>
      <c r="T41" s="1">
        <f t="shared" si="52"/>
        <v>5.5</v>
      </c>
      <c r="U41" s="1">
        <f t="shared" si="53"/>
        <v>3.75</v>
      </c>
      <c r="V41" s="1">
        <f t="shared" si="54"/>
        <v>2.375</v>
      </c>
      <c r="W41" s="1">
        <f t="shared" si="55"/>
        <v>1.7083333333333333</v>
      </c>
    </row>
    <row r="42" spans="1:23" x14ac:dyDescent="0.25">
      <c r="A42" s="1">
        <v>20</v>
      </c>
      <c r="B42" s="1">
        <f t="shared" ref="B42:K42" si="57">B51</f>
        <v>9</v>
      </c>
      <c r="C42" s="1">
        <f t="shared" si="57"/>
        <v>13</v>
      </c>
      <c r="D42" s="1">
        <f t="shared" si="57"/>
        <v>17</v>
      </c>
      <c r="E42" s="1">
        <f t="shared" si="57"/>
        <v>25</v>
      </c>
      <c r="F42" s="1">
        <f t="shared" si="57"/>
        <v>35</v>
      </c>
      <c r="G42" s="1">
        <f t="shared" si="57"/>
        <v>59</v>
      </c>
      <c r="H42" s="1">
        <f t="shared" si="57"/>
        <v>78</v>
      </c>
      <c r="I42" s="1">
        <f t="shared" si="57"/>
        <v>106</v>
      </c>
      <c r="J42" s="1">
        <f t="shared" si="57"/>
        <v>137</v>
      </c>
      <c r="K42" s="1">
        <f t="shared" si="57"/>
        <v>147</v>
      </c>
      <c r="L42" s="1"/>
      <c r="M42" s="1">
        <v>20</v>
      </c>
      <c r="N42" s="1">
        <f t="shared" si="46"/>
        <v>54</v>
      </c>
      <c r="O42" s="1">
        <f t="shared" si="47"/>
        <v>39</v>
      </c>
      <c r="P42" s="1">
        <f t="shared" si="48"/>
        <v>34</v>
      </c>
      <c r="Q42" s="1">
        <f t="shared" si="49"/>
        <v>25</v>
      </c>
      <c r="R42" s="1">
        <f t="shared" si="50"/>
        <v>17.5</v>
      </c>
      <c r="S42" s="1">
        <f t="shared" si="51"/>
        <v>9.8333333333333339</v>
      </c>
      <c r="T42" s="1">
        <f t="shared" si="52"/>
        <v>6.5</v>
      </c>
      <c r="U42" s="1">
        <f t="shared" si="53"/>
        <v>4.416666666666667</v>
      </c>
      <c r="V42" s="1">
        <f t="shared" si="54"/>
        <v>2.8541666666666665</v>
      </c>
      <c r="W42" s="1">
        <f t="shared" si="55"/>
        <v>2.0416666666666665</v>
      </c>
    </row>
    <row r="43" spans="1:23" x14ac:dyDescent="0.25">
      <c r="A43" s="1">
        <v>50</v>
      </c>
      <c r="B43" s="1">
        <f t="shared" ref="B43:K43" si="58">B52</f>
        <v>10</v>
      </c>
      <c r="C43" s="1">
        <f t="shared" si="58"/>
        <v>16</v>
      </c>
      <c r="D43" s="1">
        <f t="shared" si="58"/>
        <v>21</v>
      </c>
      <c r="E43" s="1">
        <f t="shared" si="58"/>
        <v>32</v>
      </c>
      <c r="F43" s="1">
        <f t="shared" si="58"/>
        <v>43</v>
      </c>
      <c r="G43" s="1">
        <f t="shared" si="58"/>
        <v>73</v>
      </c>
      <c r="H43" s="1">
        <f t="shared" si="58"/>
        <v>95</v>
      </c>
      <c r="I43" s="1">
        <f t="shared" si="58"/>
        <v>129</v>
      </c>
      <c r="J43" s="1">
        <f t="shared" si="58"/>
        <v>165</v>
      </c>
      <c r="K43" s="1">
        <f t="shared" si="58"/>
        <v>177</v>
      </c>
      <c r="L43" s="1"/>
      <c r="M43" s="1">
        <v>50</v>
      </c>
      <c r="N43" s="1">
        <f t="shared" si="46"/>
        <v>60</v>
      </c>
      <c r="O43" s="1">
        <f t="shared" si="47"/>
        <v>48</v>
      </c>
      <c r="P43" s="1">
        <f t="shared" si="48"/>
        <v>42</v>
      </c>
      <c r="Q43" s="1">
        <f t="shared" si="49"/>
        <v>32</v>
      </c>
      <c r="R43" s="1">
        <f t="shared" si="50"/>
        <v>21.5</v>
      </c>
      <c r="S43" s="1">
        <f t="shared" si="51"/>
        <v>12.166666666666666</v>
      </c>
      <c r="T43" s="1">
        <f t="shared" si="52"/>
        <v>7.916666666666667</v>
      </c>
      <c r="U43" s="1">
        <f t="shared" si="53"/>
        <v>5.375</v>
      </c>
      <c r="V43" s="1">
        <f t="shared" si="54"/>
        <v>3.4375</v>
      </c>
      <c r="W43" s="1">
        <f t="shared" si="55"/>
        <v>2.4583333333333335</v>
      </c>
    </row>
    <row r="44" spans="1:23" x14ac:dyDescent="0.25">
      <c r="A44" s="1">
        <v>100</v>
      </c>
      <c r="B44" s="1">
        <f t="shared" ref="B44:K44" si="59">B53</f>
        <v>13</v>
      </c>
      <c r="C44" s="1">
        <f t="shared" si="59"/>
        <v>19</v>
      </c>
      <c r="D44" s="1">
        <f t="shared" si="59"/>
        <v>24</v>
      </c>
      <c r="E44" s="1">
        <f t="shared" si="59"/>
        <v>37</v>
      </c>
      <c r="F44" s="1">
        <f t="shared" si="59"/>
        <v>49</v>
      </c>
      <c r="G44" s="1">
        <f t="shared" si="59"/>
        <v>82</v>
      </c>
      <c r="H44" s="1">
        <f t="shared" si="59"/>
        <v>107</v>
      </c>
      <c r="I44" s="1">
        <f t="shared" si="59"/>
        <v>145</v>
      </c>
      <c r="J44" s="1">
        <f t="shared" si="59"/>
        <v>184</v>
      </c>
      <c r="K44" s="1">
        <f t="shared" si="59"/>
        <v>198</v>
      </c>
      <c r="L44" s="1"/>
      <c r="M44" s="1">
        <v>100</v>
      </c>
      <c r="N44" s="1">
        <f t="shared" si="46"/>
        <v>78</v>
      </c>
      <c r="O44" s="1">
        <f t="shared" si="47"/>
        <v>57</v>
      </c>
      <c r="P44" s="1">
        <f t="shared" si="48"/>
        <v>48</v>
      </c>
      <c r="Q44" s="1">
        <f t="shared" si="49"/>
        <v>37</v>
      </c>
      <c r="R44" s="1">
        <f t="shared" si="50"/>
        <v>24.5</v>
      </c>
      <c r="S44" s="1">
        <f t="shared" si="51"/>
        <v>13.666666666666666</v>
      </c>
      <c r="T44" s="1">
        <f t="shared" si="52"/>
        <v>8.9166666666666661</v>
      </c>
      <c r="U44" s="1">
        <f t="shared" si="53"/>
        <v>6.041666666666667</v>
      </c>
      <c r="V44" s="1">
        <f t="shared" si="54"/>
        <v>3.8333333333333335</v>
      </c>
      <c r="W44" s="1">
        <f t="shared" si="55"/>
        <v>2.75</v>
      </c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 t="s">
        <v>16</v>
      </c>
      <c r="B46" s="1" t="s">
        <v>17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 t="s">
        <v>16</v>
      </c>
      <c r="N46" s="1" t="s">
        <v>21</v>
      </c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 t="s">
        <v>1</v>
      </c>
      <c r="B47" s="1" t="s">
        <v>2</v>
      </c>
      <c r="C47" s="1" t="s">
        <v>3</v>
      </c>
      <c r="D47" s="1" t="s">
        <v>4</v>
      </c>
      <c r="E47" s="1" t="s">
        <v>5</v>
      </c>
      <c r="F47" s="1" t="s">
        <v>6</v>
      </c>
      <c r="G47" s="1" t="s">
        <v>7</v>
      </c>
      <c r="H47" s="1" t="s">
        <v>8</v>
      </c>
      <c r="I47" s="1" t="s">
        <v>9</v>
      </c>
      <c r="J47" s="1" t="s">
        <v>10</v>
      </c>
      <c r="K47" s="1" t="s">
        <v>11</v>
      </c>
      <c r="L47" s="1"/>
      <c r="M47" s="1" t="s">
        <v>1</v>
      </c>
      <c r="N47" s="1" t="s">
        <v>2</v>
      </c>
      <c r="O47" s="1" t="s">
        <v>3</v>
      </c>
      <c r="P47" s="1" t="s">
        <v>4</v>
      </c>
      <c r="Q47" s="1" t="s">
        <v>5</v>
      </c>
      <c r="R47" s="1" t="s">
        <v>6</v>
      </c>
      <c r="S47" s="1" t="s">
        <v>7</v>
      </c>
      <c r="T47" s="1" t="s">
        <v>8</v>
      </c>
      <c r="U47" s="1" t="s">
        <v>9</v>
      </c>
      <c r="V47" s="1" t="s">
        <v>10</v>
      </c>
      <c r="W47" s="1" t="s">
        <v>11</v>
      </c>
    </row>
    <row r="48" spans="1:23" x14ac:dyDescent="0.25">
      <c r="A48" s="1">
        <v>2.33</v>
      </c>
      <c r="B48" s="1">
        <v>5</v>
      </c>
      <c r="C48" s="1">
        <v>6</v>
      </c>
      <c r="D48" s="1">
        <v>7</v>
      </c>
      <c r="E48" s="1">
        <v>10</v>
      </c>
      <c r="F48" s="1">
        <v>16</v>
      </c>
      <c r="G48" s="1">
        <v>29</v>
      </c>
      <c r="H48" s="1">
        <v>39</v>
      </c>
      <c r="I48" s="1">
        <v>53</v>
      </c>
      <c r="J48" s="1">
        <v>66</v>
      </c>
      <c r="K48" s="1">
        <v>71</v>
      </c>
      <c r="L48" s="1"/>
      <c r="M48" s="1">
        <v>2.33</v>
      </c>
      <c r="N48" s="1">
        <f>B48*6</f>
        <v>30</v>
      </c>
      <c r="O48" s="1">
        <f>C48*3</f>
        <v>18</v>
      </c>
      <c r="P48" s="1">
        <f>D48*2</f>
        <v>14</v>
      </c>
      <c r="Q48" s="1">
        <f>E48</f>
        <v>10</v>
      </c>
      <c r="R48" s="1">
        <f>F48/2</f>
        <v>8</v>
      </c>
      <c r="S48" s="1">
        <f>G48/6</f>
        <v>4.833333333333333</v>
      </c>
      <c r="T48" s="1">
        <f>H48/12</f>
        <v>3.25</v>
      </c>
      <c r="U48" s="1">
        <f>I48/24</f>
        <v>2.2083333333333335</v>
      </c>
      <c r="V48" s="1">
        <f>J48/48</f>
        <v>1.375</v>
      </c>
      <c r="W48" s="1">
        <f>K48/72</f>
        <v>0.98611111111111116</v>
      </c>
    </row>
    <row r="49" spans="1:23" x14ac:dyDescent="0.25">
      <c r="A49" s="1">
        <v>5</v>
      </c>
      <c r="B49" s="1">
        <v>6</v>
      </c>
      <c r="C49" s="1">
        <v>8</v>
      </c>
      <c r="D49" s="1">
        <v>10</v>
      </c>
      <c r="E49" s="1">
        <v>16</v>
      </c>
      <c r="F49" s="1">
        <v>22</v>
      </c>
      <c r="G49" s="1">
        <v>39</v>
      </c>
      <c r="H49" s="1">
        <v>54</v>
      </c>
      <c r="I49" s="1">
        <v>72</v>
      </c>
      <c r="J49" s="1">
        <v>91</v>
      </c>
      <c r="K49" s="1">
        <v>99</v>
      </c>
      <c r="L49" s="1"/>
      <c r="M49" s="1">
        <v>5</v>
      </c>
      <c r="N49" s="1">
        <f t="shared" ref="N49:N53" si="60">B49*6</f>
        <v>36</v>
      </c>
      <c r="O49" s="1">
        <f t="shared" ref="O49:O53" si="61">C49*3</f>
        <v>24</v>
      </c>
      <c r="P49" s="1">
        <f t="shared" ref="P49:P53" si="62">D49*2</f>
        <v>20</v>
      </c>
      <c r="Q49" s="1">
        <f t="shared" ref="Q49:Q53" si="63">E49</f>
        <v>16</v>
      </c>
      <c r="R49" s="1">
        <f t="shared" ref="R49:R53" si="64">F49/2</f>
        <v>11</v>
      </c>
      <c r="S49" s="1">
        <f t="shared" ref="S49:S53" si="65">G49/6</f>
        <v>6.5</v>
      </c>
      <c r="T49" s="1">
        <f t="shared" ref="T49:T53" si="66">H49/12</f>
        <v>4.5</v>
      </c>
      <c r="U49" s="1">
        <f t="shared" ref="U49:U53" si="67">I49/24</f>
        <v>3</v>
      </c>
      <c r="V49" s="1">
        <f t="shared" ref="V49:V53" si="68">J49/48</f>
        <v>1.8958333333333333</v>
      </c>
      <c r="W49" s="1">
        <f t="shared" ref="W49:W53" si="69">K49/72</f>
        <v>1.375</v>
      </c>
    </row>
    <row r="50" spans="1:23" x14ac:dyDescent="0.25">
      <c r="A50" s="1">
        <v>10</v>
      </c>
      <c r="B50" s="1">
        <v>8</v>
      </c>
      <c r="C50" s="1">
        <v>10</v>
      </c>
      <c r="D50" s="1">
        <v>14</v>
      </c>
      <c r="E50" s="1">
        <v>21</v>
      </c>
      <c r="F50" s="1">
        <v>29</v>
      </c>
      <c r="G50" s="1">
        <v>49</v>
      </c>
      <c r="H50" s="1">
        <v>66</v>
      </c>
      <c r="I50" s="1">
        <v>90</v>
      </c>
      <c r="J50" s="1">
        <v>114</v>
      </c>
      <c r="K50" s="1">
        <v>123</v>
      </c>
      <c r="L50" s="1"/>
      <c r="M50" s="1">
        <v>10</v>
      </c>
      <c r="N50" s="1">
        <f t="shared" si="60"/>
        <v>48</v>
      </c>
      <c r="O50" s="1">
        <f t="shared" si="61"/>
        <v>30</v>
      </c>
      <c r="P50" s="1">
        <f t="shared" si="62"/>
        <v>28</v>
      </c>
      <c r="Q50" s="1">
        <f t="shared" si="63"/>
        <v>21</v>
      </c>
      <c r="R50" s="1">
        <f t="shared" si="64"/>
        <v>14.5</v>
      </c>
      <c r="S50" s="1">
        <f t="shared" si="65"/>
        <v>8.1666666666666661</v>
      </c>
      <c r="T50" s="1">
        <f t="shared" si="66"/>
        <v>5.5</v>
      </c>
      <c r="U50" s="1">
        <f t="shared" si="67"/>
        <v>3.75</v>
      </c>
      <c r="V50" s="1">
        <f t="shared" si="68"/>
        <v>2.375</v>
      </c>
      <c r="W50" s="1">
        <f t="shared" si="69"/>
        <v>1.7083333333333333</v>
      </c>
    </row>
    <row r="51" spans="1:23" x14ac:dyDescent="0.25">
      <c r="A51" s="1">
        <v>20</v>
      </c>
      <c r="B51" s="1">
        <v>9</v>
      </c>
      <c r="C51" s="1">
        <v>13</v>
      </c>
      <c r="D51" s="1">
        <v>17</v>
      </c>
      <c r="E51" s="1">
        <v>25</v>
      </c>
      <c r="F51" s="1">
        <v>35</v>
      </c>
      <c r="G51" s="1">
        <v>59</v>
      </c>
      <c r="H51" s="1">
        <v>78</v>
      </c>
      <c r="I51" s="1">
        <v>106</v>
      </c>
      <c r="J51" s="1">
        <v>137</v>
      </c>
      <c r="K51" s="1">
        <v>147</v>
      </c>
      <c r="L51" s="1"/>
      <c r="M51" s="1">
        <v>20</v>
      </c>
      <c r="N51" s="1">
        <f t="shared" si="60"/>
        <v>54</v>
      </c>
      <c r="O51" s="1">
        <f t="shared" si="61"/>
        <v>39</v>
      </c>
      <c r="P51" s="1">
        <f t="shared" si="62"/>
        <v>34</v>
      </c>
      <c r="Q51" s="1">
        <f t="shared" si="63"/>
        <v>25</v>
      </c>
      <c r="R51" s="1">
        <f t="shared" si="64"/>
        <v>17.5</v>
      </c>
      <c r="S51" s="1">
        <f t="shared" si="65"/>
        <v>9.8333333333333339</v>
      </c>
      <c r="T51" s="1">
        <f t="shared" si="66"/>
        <v>6.5</v>
      </c>
      <c r="U51" s="1">
        <f t="shared" si="67"/>
        <v>4.416666666666667</v>
      </c>
      <c r="V51" s="1">
        <f t="shared" si="68"/>
        <v>2.8541666666666665</v>
      </c>
      <c r="W51" s="1">
        <f t="shared" si="69"/>
        <v>2.0416666666666665</v>
      </c>
    </row>
    <row r="52" spans="1:23" x14ac:dyDescent="0.25">
      <c r="A52" s="1">
        <v>50</v>
      </c>
      <c r="B52" s="1">
        <v>10</v>
      </c>
      <c r="C52" s="1">
        <v>16</v>
      </c>
      <c r="D52" s="1">
        <v>21</v>
      </c>
      <c r="E52" s="1">
        <v>32</v>
      </c>
      <c r="F52" s="1">
        <v>43</v>
      </c>
      <c r="G52" s="1">
        <v>73</v>
      </c>
      <c r="H52" s="1">
        <v>95</v>
      </c>
      <c r="I52" s="1">
        <v>129</v>
      </c>
      <c r="J52" s="1">
        <v>165</v>
      </c>
      <c r="K52" s="1">
        <v>177</v>
      </c>
      <c r="L52" s="1"/>
      <c r="M52" s="1">
        <v>50</v>
      </c>
      <c r="N52" s="1">
        <f t="shared" si="60"/>
        <v>60</v>
      </c>
      <c r="O52" s="1">
        <f t="shared" si="61"/>
        <v>48</v>
      </c>
      <c r="P52" s="1">
        <f t="shared" si="62"/>
        <v>42</v>
      </c>
      <c r="Q52" s="1">
        <f t="shared" si="63"/>
        <v>32</v>
      </c>
      <c r="R52" s="1">
        <f t="shared" si="64"/>
        <v>21.5</v>
      </c>
      <c r="S52" s="1">
        <f t="shared" si="65"/>
        <v>12.166666666666666</v>
      </c>
      <c r="T52" s="1">
        <f t="shared" si="66"/>
        <v>7.916666666666667</v>
      </c>
      <c r="U52" s="1">
        <f t="shared" si="67"/>
        <v>5.375</v>
      </c>
      <c r="V52" s="1">
        <f t="shared" si="68"/>
        <v>3.4375</v>
      </c>
      <c r="W52" s="1">
        <f t="shared" si="69"/>
        <v>2.4583333333333335</v>
      </c>
    </row>
    <row r="53" spans="1:23" x14ac:dyDescent="0.25">
      <c r="A53" s="1">
        <v>100</v>
      </c>
      <c r="B53" s="1">
        <v>13</v>
      </c>
      <c r="C53" s="1">
        <v>19</v>
      </c>
      <c r="D53" s="1">
        <v>24</v>
      </c>
      <c r="E53" s="1">
        <v>37</v>
      </c>
      <c r="F53" s="1">
        <v>49</v>
      </c>
      <c r="G53" s="1">
        <v>82</v>
      </c>
      <c r="H53" s="1">
        <v>107</v>
      </c>
      <c r="I53" s="1">
        <v>145</v>
      </c>
      <c r="J53" s="1">
        <v>184</v>
      </c>
      <c r="K53" s="1">
        <v>198</v>
      </c>
      <c r="L53" s="1"/>
      <c r="M53" s="1">
        <v>100</v>
      </c>
      <c r="N53" s="1">
        <f t="shared" si="60"/>
        <v>78</v>
      </c>
      <c r="O53" s="1">
        <f t="shared" si="61"/>
        <v>57</v>
      </c>
      <c r="P53" s="1">
        <f t="shared" si="62"/>
        <v>48</v>
      </c>
      <c r="Q53" s="1">
        <f t="shared" si="63"/>
        <v>37</v>
      </c>
      <c r="R53" s="1">
        <f t="shared" si="64"/>
        <v>24.5</v>
      </c>
      <c r="S53" s="1">
        <f t="shared" si="65"/>
        <v>13.666666666666666</v>
      </c>
      <c r="T53" s="1">
        <f t="shared" si="66"/>
        <v>8.9166666666666661</v>
      </c>
      <c r="U53" s="1">
        <f t="shared" si="67"/>
        <v>6.041666666666667</v>
      </c>
      <c r="V53" s="1">
        <f t="shared" si="68"/>
        <v>3.8333333333333335</v>
      </c>
      <c r="W53" s="1">
        <f t="shared" si="69"/>
        <v>2.75</v>
      </c>
    </row>
    <row r="55" spans="1:23" x14ac:dyDescent="0.25">
      <c r="A55" s="35" t="s">
        <v>63</v>
      </c>
      <c r="B55" s="35" t="str">
        <f>B64</f>
        <v>Design Rainfalls for Pleasant Point under projected climate change to 2090s (mm)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 t="s">
        <v>63</v>
      </c>
      <c r="N55" s="35" t="str">
        <f>N64</f>
        <v>Design Rainfalls for Pleasant Point under projected climate change to 2090s (mm/hr)</v>
      </c>
      <c r="O55" s="35"/>
      <c r="P55" s="35"/>
      <c r="Q55" s="35"/>
      <c r="R55" s="35"/>
      <c r="S55" s="35"/>
      <c r="T55" s="35"/>
      <c r="U55" s="35"/>
      <c r="V55" s="35"/>
      <c r="W55" s="35"/>
    </row>
    <row r="56" spans="1:23" x14ac:dyDescent="0.25">
      <c r="A56" s="35" t="s">
        <v>1</v>
      </c>
      <c r="B56" s="35" t="s">
        <v>2</v>
      </c>
      <c r="C56" s="35" t="s">
        <v>3</v>
      </c>
      <c r="D56" s="35" t="s">
        <v>4</v>
      </c>
      <c r="E56" s="35" t="s">
        <v>5</v>
      </c>
      <c r="F56" s="35" t="s">
        <v>6</v>
      </c>
      <c r="G56" s="35" t="s">
        <v>7</v>
      </c>
      <c r="H56" s="35" t="s">
        <v>8</v>
      </c>
      <c r="I56" s="35" t="s">
        <v>9</v>
      </c>
      <c r="J56" s="35" t="s">
        <v>10</v>
      </c>
      <c r="K56" s="35" t="s">
        <v>11</v>
      </c>
      <c r="L56" s="35"/>
      <c r="M56" s="35" t="s">
        <v>1</v>
      </c>
      <c r="N56" s="35" t="s">
        <v>2</v>
      </c>
      <c r="O56" s="35" t="s">
        <v>3</v>
      </c>
      <c r="P56" s="35" t="s">
        <v>4</v>
      </c>
      <c r="Q56" s="35" t="s">
        <v>5</v>
      </c>
      <c r="R56" s="35" t="s">
        <v>6</v>
      </c>
      <c r="S56" s="35" t="s">
        <v>7</v>
      </c>
      <c r="T56" s="35" t="s">
        <v>8</v>
      </c>
      <c r="U56" s="35" t="s">
        <v>9</v>
      </c>
      <c r="V56" s="35" t="s">
        <v>10</v>
      </c>
      <c r="W56" s="35" t="s">
        <v>11</v>
      </c>
    </row>
    <row r="57" spans="1:23" x14ac:dyDescent="0.25">
      <c r="A57" s="35">
        <v>2.33</v>
      </c>
      <c r="B57" s="35">
        <f>B66</f>
        <v>5</v>
      </c>
      <c r="C57" s="35">
        <f t="shared" ref="C57:K57" si="70">C66</f>
        <v>6</v>
      </c>
      <c r="D57" s="35">
        <f t="shared" si="70"/>
        <v>7</v>
      </c>
      <c r="E57" s="35">
        <f t="shared" si="70"/>
        <v>10</v>
      </c>
      <c r="F57" s="35">
        <f t="shared" si="70"/>
        <v>16</v>
      </c>
      <c r="G57" s="35">
        <f t="shared" si="70"/>
        <v>29</v>
      </c>
      <c r="H57" s="35">
        <f t="shared" si="70"/>
        <v>39</v>
      </c>
      <c r="I57" s="35">
        <f t="shared" si="70"/>
        <v>53</v>
      </c>
      <c r="J57" s="35">
        <f t="shared" si="70"/>
        <v>66</v>
      </c>
      <c r="K57" s="35">
        <f t="shared" si="70"/>
        <v>71</v>
      </c>
      <c r="L57" s="35"/>
      <c r="M57" s="35">
        <v>2.33</v>
      </c>
      <c r="N57" s="35">
        <f>B57*6</f>
        <v>30</v>
      </c>
      <c r="O57" s="35">
        <f>C57*3</f>
        <v>18</v>
      </c>
      <c r="P57" s="35">
        <f>D57*2</f>
        <v>14</v>
      </c>
      <c r="Q57" s="35">
        <f>E57</f>
        <v>10</v>
      </c>
      <c r="R57" s="35">
        <f>F57/2</f>
        <v>8</v>
      </c>
      <c r="S57" s="35">
        <f>G57/6</f>
        <v>4.833333333333333</v>
      </c>
      <c r="T57" s="35">
        <f>H57/12</f>
        <v>3.25</v>
      </c>
      <c r="U57" s="35">
        <f>I57/24</f>
        <v>2.2083333333333335</v>
      </c>
      <c r="V57" s="35">
        <f>J57/48</f>
        <v>1.375</v>
      </c>
      <c r="W57" s="35">
        <f>K57/72</f>
        <v>0.98611111111111116</v>
      </c>
    </row>
    <row r="58" spans="1:23" x14ac:dyDescent="0.25">
      <c r="A58" s="35">
        <v>5</v>
      </c>
      <c r="B58" s="35">
        <f t="shared" ref="B58:K62" si="71">B67</f>
        <v>6</v>
      </c>
      <c r="C58" s="35">
        <f t="shared" si="71"/>
        <v>8</v>
      </c>
      <c r="D58" s="35">
        <f t="shared" si="71"/>
        <v>10</v>
      </c>
      <c r="E58" s="35">
        <f t="shared" si="71"/>
        <v>16</v>
      </c>
      <c r="F58" s="35">
        <f t="shared" si="71"/>
        <v>22</v>
      </c>
      <c r="G58" s="35">
        <f t="shared" si="71"/>
        <v>39</v>
      </c>
      <c r="H58" s="35">
        <f t="shared" si="71"/>
        <v>54</v>
      </c>
      <c r="I58" s="35">
        <f t="shared" si="71"/>
        <v>72</v>
      </c>
      <c r="J58" s="35">
        <f t="shared" si="71"/>
        <v>91</v>
      </c>
      <c r="K58" s="35">
        <f t="shared" si="71"/>
        <v>99</v>
      </c>
      <c r="L58" s="35"/>
      <c r="M58" s="35">
        <v>5</v>
      </c>
      <c r="N58" s="35">
        <f t="shared" ref="N58:N62" si="72">B58*6</f>
        <v>36</v>
      </c>
      <c r="O58" s="35">
        <f t="shared" ref="O58:O62" si="73">C58*3</f>
        <v>24</v>
      </c>
      <c r="P58" s="35">
        <f t="shared" ref="P58:P62" si="74">D58*2</f>
        <v>20</v>
      </c>
      <c r="Q58" s="35">
        <f t="shared" ref="Q58:Q62" si="75">E58</f>
        <v>16</v>
      </c>
      <c r="R58" s="35">
        <f t="shared" ref="R58:R62" si="76">F58/2</f>
        <v>11</v>
      </c>
      <c r="S58" s="35">
        <f t="shared" ref="S58:S62" si="77">G58/6</f>
        <v>6.5</v>
      </c>
      <c r="T58" s="35">
        <f t="shared" ref="T58:T62" si="78">H58/12</f>
        <v>4.5</v>
      </c>
      <c r="U58" s="35">
        <f t="shared" ref="U58:U62" si="79">I58/24</f>
        <v>3</v>
      </c>
      <c r="V58" s="35">
        <f t="shared" ref="V58:V62" si="80">J58/48</f>
        <v>1.8958333333333333</v>
      </c>
      <c r="W58" s="35">
        <f t="shared" ref="W58:W62" si="81">K58/72</f>
        <v>1.375</v>
      </c>
    </row>
    <row r="59" spans="1:23" x14ac:dyDescent="0.25">
      <c r="A59" s="35">
        <v>10</v>
      </c>
      <c r="B59" s="35">
        <f t="shared" si="71"/>
        <v>8</v>
      </c>
      <c r="C59" s="35">
        <f t="shared" si="71"/>
        <v>10</v>
      </c>
      <c r="D59" s="35">
        <f t="shared" si="71"/>
        <v>14</v>
      </c>
      <c r="E59" s="35">
        <f t="shared" si="71"/>
        <v>21</v>
      </c>
      <c r="F59" s="35">
        <f t="shared" si="71"/>
        <v>29</v>
      </c>
      <c r="G59" s="35">
        <f t="shared" si="71"/>
        <v>49</v>
      </c>
      <c r="H59" s="35">
        <f t="shared" si="71"/>
        <v>66</v>
      </c>
      <c r="I59" s="35">
        <f t="shared" si="71"/>
        <v>90</v>
      </c>
      <c r="J59" s="35">
        <f t="shared" si="71"/>
        <v>114</v>
      </c>
      <c r="K59" s="35">
        <f t="shared" si="71"/>
        <v>123</v>
      </c>
      <c r="L59" s="35"/>
      <c r="M59" s="35">
        <v>10</v>
      </c>
      <c r="N59" s="35">
        <f t="shared" si="72"/>
        <v>48</v>
      </c>
      <c r="O59" s="35">
        <f t="shared" si="73"/>
        <v>30</v>
      </c>
      <c r="P59" s="35">
        <f t="shared" si="74"/>
        <v>28</v>
      </c>
      <c r="Q59" s="35">
        <f t="shared" si="75"/>
        <v>21</v>
      </c>
      <c r="R59" s="35">
        <f t="shared" si="76"/>
        <v>14.5</v>
      </c>
      <c r="S59" s="35">
        <f t="shared" si="77"/>
        <v>8.1666666666666661</v>
      </c>
      <c r="T59" s="35">
        <f t="shared" si="78"/>
        <v>5.5</v>
      </c>
      <c r="U59" s="35">
        <f t="shared" si="79"/>
        <v>3.75</v>
      </c>
      <c r="V59" s="35">
        <f t="shared" si="80"/>
        <v>2.375</v>
      </c>
      <c r="W59" s="35">
        <f t="shared" si="81"/>
        <v>1.7083333333333333</v>
      </c>
    </row>
    <row r="60" spans="1:23" x14ac:dyDescent="0.25">
      <c r="A60" s="35">
        <v>20</v>
      </c>
      <c r="B60" s="35">
        <f t="shared" si="71"/>
        <v>9</v>
      </c>
      <c r="C60" s="35">
        <f t="shared" si="71"/>
        <v>13</v>
      </c>
      <c r="D60" s="35">
        <f t="shared" si="71"/>
        <v>17</v>
      </c>
      <c r="E60" s="35">
        <f t="shared" si="71"/>
        <v>25</v>
      </c>
      <c r="F60" s="35">
        <f t="shared" si="71"/>
        <v>35</v>
      </c>
      <c r="G60" s="35">
        <f t="shared" si="71"/>
        <v>59</v>
      </c>
      <c r="H60" s="35">
        <f t="shared" si="71"/>
        <v>78</v>
      </c>
      <c r="I60" s="35">
        <f t="shared" si="71"/>
        <v>106</v>
      </c>
      <c r="J60" s="35">
        <f t="shared" si="71"/>
        <v>137</v>
      </c>
      <c r="K60" s="35">
        <f t="shared" si="71"/>
        <v>147</v>
      </c>
      <c r="L60" s="35"/>
      <c r="M60" s="35">
        <v>20</v>
      </c>
      <c r="N60" s="35">
        <f t="shared" si="72"/>
        <v>54</v>
      </c>
      <c r="O60" s="35">
        <f t="shared" si="73"/>
        <v>39</v>
      </c>
      <c r="P60" s="35">
        <f t="shared" si="74"/>
        <v>34</v>
      </c>
      <c r="Q60" s="35">
        <f t="shared" si="75"/>
        <v>25</v>
      </c>
      <c r="R60" s="35">
        <f t="shared" si="76"/>
        <v>17.5</v>
      </c>
      <c r="S60" s="35">
        <f t="shared" si="77"/>
        <v>9.8333333333333339</v>
      </c>
      <c r="T60" s="35">
        <f t="shared" si="78"/>
        <v>6.5</v>
      </c>
      <c r="U60" s="35">
        <f t="shared" si="79"/>
        <v>4.416666666666667</v>
      </c>
      <c r="V60" s="35">
        <f t="shared" si="80"/>
        <v>2.8541666666666665</v>
      </c>
      <c r="W60" s="35">
        <f t="shared" si="81"/>
        <v>2.0416666666666665</v>
      </c>
    </row>
    <row r="61" spans="1:23" x14ac:dyDescent="0.25">
      <c r="A61" s="35">
        <v>50</v>
      </c>
      <c r="B61" s="35">
        <f t="shared" si="71"/>
        <v>10</v>
      </c>
      <c r="C61" s="35">
        <f t="shared" si="71"/>
        <v>16</v>
      </c>
      <c r="D61" s="35">
        <f t="shared" si="71"/>
        <v>21</v>
      </c>
      <c r="E61" s="35">
        <f t="shared" si="71"/>
        <v>32</v>
      </c>
      <c r="F61" s="35">
        <f t="shared" si="71"/>
        <v>43</v>
      </c>
      <c r="G61" s="35">
        <f t="shared" si="71"/>
        <v>73</v>
      </c>
      <c r="H61" s="35">
        <f t="shared" si="71"/>
        <v>95</v>
      </c>
      <c r="I61" s="35">
        <f t="shared" si="71"/>
        <v>129</v>
      </c>
      <c r="J61" s="35">
        <f t="shared" si="71"/>
        <v>165</v>
      </c>
      <c r="K61" s="35">
        <f t="shared" si="71"/>
        <v>177</v>
      </c>
      <c r="L61" s="35"/>
      <c r="M61" s="35">
        <v>50</v>
      </c>
      <c r="N61" s="35">
        <f t="shared" si="72"/>
        <v>60</v>
      </c>
      <c r="O61" s="35">
        <f t="shared" si="73"/>
        <v>48</v>
      </c>
      <c r="P61" s="35">
        <f t="shared" si="74"/>
        <v>42</v>
      </c>
      <c r="Q61" s="35">
        <f t="shared" si="75"/>
        <v>32</v>
      </c>
      <c r="R61" s="35">
        <f t="shared" si="76"/>
        <v>21.5</v>
      </c>
      <c r="S61" s="35">
        <f t="shared" si="77"/>
        <v>12.166666666666666</v>
      </c>
      <c r="T61" s="35">
        <f t="shared" si="78"/>
        <v>7.916666666666667</v>
      </c>
      <c r="U61" s="35">
        <f t="shared" si="79"/>
        <v>5.375</v>
      </c>
      <c r="V61" s="35">
        <f t="shared" si="80"/>
        <v>3.4375</v>
      </c>
      <c r="W61" s="35">
        <f t="shared" si="81"/>
        <v>2.4583333333333335</v>
      </c>
    </row>
    <row r="62" spans="1:23" x14ac:dyDescent="0.25">
      <c r="A62" s="35">
        <v>100</v>
      </c>
      <c r="B62" s="35">
        <f t="shared" si="71"/>
        <v>13</v>
      </c>
      <c r="C62" s="35">
        <f t="shared" si="71"/>
        <v>19</v>
      </c>
      <c r="D62" s="35">
        <f t="shared" si="71"/>
        <v>24</v>
      </c>
      <c r="E62" s="35">
        <f t="shared" si="71"/>
        <v>37</v>
      </c>
      <c r="F62" s="35">
        <f t="shared" si="71"/>
        <v>49</v>
      </c>
      <c r="G62" s="35">
        <f t="shared" si="71"/>
        <v>82</v>
      </c>
      <c r="H62" s="35">
        <f t="shared" si="71"/>
        <v>107</v>
      </c>
      <c r="I62" s="35">
        <f t="shared" si="71"/>
        <v>145</v>
      </c>
      <c r="J62" s="35">
        <f t="shared" si="71"/>
        <v>184</v>
      </c>
      <c r="K62" s="35">
        <f t="shared" si="71"/>
        <v>198</v>
      </c>
      <c r="L62" s="35"/>
      <c r="M62" s="35">
        <v>100</v>
      </c>
      <c r="N62" s="35">
        <f t="shared" si="72"/>
        <v>78</v>
      </c>
      <c r="O62" s="35">
        <f t="shared" si="73"/>
        <v>57</v>
      </c>
      <c r="P62" s="35">
        <f t="shared" si="74"/>
        <v>48</v>
      </c>
      <c r="Q62" s="35">
        <f t="shared" si="75"/>
        <v>37</v>
      </c>
      <c r="R62" s="35">
        <f t="shared" si="76"/>
        <v>24.5</v>
      </c>
      <c r="S62" s="35">
        <f t="shared" si="77"/>
        <v>13.666666666666666</v>
      </c>
      <c r="T62" s="35">
        <f t="shared" si="78"/>
        <v>8.9166666666666661</v>
      </c>
      <c r="U62" s="35">
        <f t="shared" si="79"/>
        <v>6.041666666666667</v>
      </c>
      <c r="V62" s="35">
        <f t="shared" si="80"/>
        <v>3.8333333333333335</v>
      </c>
      <c r="W62" s="35">
        <f t="shared" si="81"/>
        <v>2.75</v>
      </c>
    </row>
    <row r="63" spans="1:23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x14ac:dyDescent="0.25">
      <c r="A64" s="35" t="s">
        <v>63</v>
      </c>
      <c r="B64" s="35" t="s">
        <v>64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 t="s">
        <v>63</v>
      </c>
      <c r="N64" s="35" t="s">
        <v>65</v>
      </c>
      <c r="O64" s="35"/>
      <c r="P64" s="35"/>
      <c r="Q64" s="35"/>
      <c r="R64" s="35"/>
      <c r="S64" s="35"/>
      <c r="T64" s="35"/>
      <c r="U64" s="35"/>
      <c r="V64" s="35"/>
      <c r="W64" s="35"/>
    </row>
    <row r="65" spans="1:23" x14ac:dyDescent="0.25">
      <c r="A65" s="35" t="s">
        <v>1</v>
      </c>
      <c r="B65" s="35" t="s">
        <v>2</v>
      </c>
      <c r="C65" s="35" t="s">
        <v>3</v>
      </c>
      <c r="D65" s="35" t="s">
        <v>4</v>
      </c>
      <c r="E65" s="35" t="s">
        <v>5</v>
      </c>
      <c r="F65" s="35" t="s">
        <v>6</v>
      </c>
      <c r="G65" s="35" t="s">
        <v>7</v>
      </c>
      <c r="H65" s="35" t="s">
        <v>8</v>
      </c>
      <c r="I65" s="35" t="s">
        <v>9</v>
      </c>
      <c r="J65" s="35" t="s">
        <v>10</v>
      </c>
      <c r="K65" s="35" t="s">
        <v>11</v>
      </c>
      <c r="L65" s="35"/>
      <c r="M65" s="35" t="s">
        <v>1</v>
      </c>
      <c r="N65" s="35" t="s">
        <v>2</v>
      </c>
      <c r="O65" s="35" t="s">
        <v>3</v>
      </c>
      <c r="P65" s="35" t="s">
        <v>4</v>
      </c>
      <c r="Q65" s="35" t="s">
        <v>5</v>
      </c>
      <c r="R65" s="35" t="s">
        <v>6</v>
      </c>
      <c r="S65" s="35" t="s">
        <v>7</v>
      </c>
      <c r="T65" s="35" t="s">
        <v>8</v>
      </c>
      <c r="U65" s="35" t="s">
        <v>9</v>
      </c>
      <c r="V65" s="35" t="s">
        <v>10</v>
      </c>
      <c r="W65" s="35" t="s">
        <v>11</v>
      </c>
    </row>
    <row r="66" spans="1:23" x14ac:dyDescent="0.25">
      <c r="A66" s="35">
        <v>2.33</v>
      </c>
      <c r="B66" s="35">
        <v>5</v>
      </c>
      <c r="C66" s="35">
        <v>6</v>
      </c>
      <c r="D66" s="35">
        <v>7</v>
      </c>
      <c r="E66" s="35">
        <v>10</v>
      </c>
      <c r="F66" s="35">
        <v>16</v>
      </c>
      <c r="G66" s="35">
        <v>29</v>
      </c>
      <c r="H66" s="35">
        <v>39</v>
      </c>
      <c r="I66" s="35">
        <v>53</v>
      </c>
      <c r="J66" s="35">
        <v>66</v>
      </c>
      <c r="K66" s="35">
        <v>71</v>
      </c>
      <c r="L66" s="35"/>
      <c r="M66" s="35">
        <v>2.33</v>
      </c>
      <c r="N66" s="35">
        <f>B66*6</f>
        <v>30</v>
      </c>
      <c r="O66" s="35">
        <f>C66*3</f>
        <v>18</v>
      </c>
      <c r="P66" s="35">
        <f>D66*2</f>
        <v>14</v>
      </c>
      <c r="Q66" s="35">
        <f>E66</f>
        <v>10</v>
      </c>
      <c r="R66" s="35">
        <f>F66/2</f>
        <v>8</v>
      </c>
      <c r="S66" s="35">
        <f>G66/6</f>
        <v>4.833333333333333</v>
      </c>
      <c r="T66" s="35">
        <f>H66/12</f>
        <v>3.25</v>
      </c>
      <c r="U66" s="35">
        <f>I66/24</f>
        <v>2.2083333333333335</v>
      </c>
      <c r="V66" s="35">
        <f>J66/48</f>
        <v>1.375</v>
      </c>
      <c r="W66" s="35">
        <f>K66/72</f>
        <v>0.98611111111111116</v>
      </c>
    </row>
    <row r="67" spans="1:23" x14ac:dyDescent="0.25">
      <c r="A67" s="35">
        <v>5</v>
      </c>
      <c r="B67" s="35">
        <v>6</v>
      </c>
      <c r="C67" s="35">
        <v>8</v>
      </c>
      <c r="D67" s="35">
        <v>10</v>
      </c>
      <c r="E67" s="35">
        <v>16</v>
      </c>
      <c r="F67" s="35">
        <v>22</v>
      </c>
      <c r="G67" s="35">
        <v>39</v>
      </c>
      <c r="H67" s="35">
        <v>54</v>
      </c>
      <c r="I67" s="35">
        <v>72</v>
      </c>
      <c r="J67" s="35">
        <v>91</v>
      </c>
      <c r="K67" s="35">
        <v>99</v>
      </c>
      <c r="L67" s="35"/>
      <c r="M67" s="35">
        <v>5</v>
      </c>
      <c r="N67" s="35">
        <f t="shared" ref="N67:N71" si="82">B67*6</f>
        <v>36</v>
      </c>
      <c r="O67" s="35">
        <f t="shared" ref="O67:O71" si="83">C67*3</f>
        <v>24</v>
      </c>
      <c r="P67" s="35">
        <f t="shared" ref="P67:P71" si="84">D67*2</f>
        <v>20</v>
      </c>
      <c r="Q67" s="35">
        <f t="shared" ref="Q67:Q71" si="85">E67</f>
        <v>16</v>
      </c>
      <c r="R67" s="35">
        <f t="shared" ref="R67:R71" si="86">F67/2</f>
        <v>11</v>
      </c>
      <c r="S67" s="35">
        <f t="shared" ref="S67:S71" si="87">G67/6</f>
        <v>6.5</v>
      </c>
      <c r="T67" s="35">
        <f t="shared" ref="T67:T71" si="88">H67/12</f>
        <v>4.5</v>
      </c>
      <c r="U67" s="35">
        <f t="shared" ref="U67:U71" si="89">I67/24</f>
        <v>3</v>
      </c>
      <c r="V67" s="35">
        <f t="shared" ref="V67:V71" si="90">J67/48</f>
        <v>1.8958333333333333</v>
      </c>
      <c r="W67" s="35">
        <f t="shared" ref="W67:W71" si="91">K67/72</f>
        <v>1.375</v>
      </c>
    </row>
    <row r="68" spans="1:23" x14ac:dyDescent="0.25">
      <c r="A68" s="35">
        <v>10</v>
      </c>
      <c r="B68" s="35">
        <v>8</v>
      </c>
      <c r="C68" s="35">
        <v>10</v>
      </c>
      <c r="D68" s="35">
        <v>14</v>
      </c>
      <c r="E68" s="35">
        <v>21</v>
      </c>
      <c r="F68" s="35">
        <v>29</v>
      </c>
      <c r="G68" s="35">
        <v>49</v>
      </c>
      <c r="H68" s="35">
        <v>66</v>
      </c>
      <c r="I68" s="35">
        <v>90</v>
      </c>
      <c r="J68" s="35">
        <v>114</v>
      </c>
      <c r="K68" s="35">
        <v>123</v>
      </c>
      <c r="L68" s="35"/>
      <c r="M68" s="35">
        <v>10</v>
      </c>
      <c r="N68" s="35">
        <f t="shared" si="82"/>
        <v>48</v>
      </c>
      <c r="O68" s="35">
        <f t="shared" si="83"/>
        <v>30</v>
      </c>
      <c r="P68" s="35">
        <f t="shared" si="84"/>
        <v>28</v>
      </c>
      <c r="Q68" s="35">
        <f t="shared" si="85"/>
        <v>21</v>
      </c>
      <c r="R68" s="35">
        <f t="shared" si="86"/>
        <v>14.5</v>
      </c>
      <c r="S68" s="35">
        <f t="shared" si="87"/>
        <v>8.1666666666666661</v>
      </c>
      <c r="T68" s="35">
        <f t="shared" si="88"/>
        <v>5.5</v>
      </c>
      <c r="U68" s="35">
        <f t="shared" si="89"/>
        <v>3.75</v>
      </c>
      <c r="V68" s="35">
        <f t="shared" si="90"/>
        <v>2.375</v>
      </c>
      <c r="W68" s="35">
        <f t="shared" si="91"/>
        <v>1.7083333333333333</v>
      </c>
    </row>
    <row r="69" spans="1:23" x14ac:dyDescent="0.25">
      <c r="A69" s="35">
        <v>20</v>
      </c>
      <c r="B69" s="35">
        <v>9</v>
      </c>
      <c r="C69" s="35">
        <v>13</v>
      </c>
      <c r="D69" s="35">
        <v>17</v>
      </c>
      <c r="E69" s="35">
        <v>25</v>
      </c>
      <c r="F69" s="35">
        <v>35</v>
      </c>
      <c r="G69" s="35">
        <v>59</v>
      </c>
      <c r="H69" s="35">
        <v>78</v>
      </c>
      <c r="I69" s="35">
        <v>106</v>
      </c>
      <c r="J69" s="35">
        <v>137</v>
      </c>
      <c r="K69" s="35">
        <v>147</v>
      </c>
      <c r="L69" s="35"/>
      <c r="M69" s="35">
        <v>20</v>
      </c>
      <c r="N69" s="35">
        <f t="shared" si="82"/>
        <v>54</v>
      </c>
      <c r="O69" s="35">
        <f t="shared" si="83"/>
        <v>39</v>
      </c>
      <c r="P69" s="35">
        <f t="shared" si="84"/>
        <v>34</v>
      </c>
      <c r="Q69" s="35">
        <f t="shared" si="85"/>
        <v>25</v>
      </c>
      <c r="R69" s="35">
        <f t="shared" si="86"/>
        <v>17.5</v>
      </c>
      <c r="S69" s="35">
        <f t="shared" si="87"/>
        <v>9.8333333333333339</v>
      </c>
      <c r="T69" s="35">
        <f t="shared" si="88"/>
        <v>6.5</v>
      </c>
      <c r="U69" s="35">
        <f t="shared" si="89"/>
        <v>4.416666666666667</v>
      </c>
      <c r="V69" s="35">
        <f t="shared" si="90"/>
        <v>2.8541666666666665</v>
      </c>
      <c r="W69" s="35">
        <f t="shared" si="91"/>
        <v>2.0416666666666665</v>
      </c>
    </row>
    <row r="70" spans="1:23" x14ac:dyDescent="0.25">
      <c r="A70" s="35">
        <v>50</v>
      </c>
      <c r="B70" s="35">
        <v>10</v>
      </c>
      <c r="C70" s="35">
        <v>16</v>
      </c>
      <c r="D70" s="35">
        <v>21</v>
      </c>
      <c r="E70" s="35">
        <v>32</v>
      </c>
      <c r="F70" s="35">
        <v>43</v>
      </c>
      <c r="G70" s="35">
        <v>73</v>
      </c>
      <c r="H70" s="35">
        <v>95</v>
      </c>
      <c r="I70" s="35">
        <v>129</v>
      </c>
      <c r="J70" s="35">
        <v>165</v>
      </c>
      <c r="K70" s="35">
        <v>177</v>
      </c>
      <c r="L70" s="35"/>
      <c r="M70" s="35">
        <v>50</v>
      </c>
      <c r="N70" s="35">
        <f t="shared" si="82"/>
        <v>60</v>
      </c>
      <c r="O70" s="35">
        <f t="shared" si="83"/>
        <v>48</v>
      </c>
      <c r="P70" s="35">
        <f t="shared" si="84"/>
        <v>42</v>
      </c>
      <c r="Q70" s="35">
        <f t="shared" si="85"/>
        <v>32</v>
      </c>
      <c r="R70" s="35">
        <f t="shared" si="86"/>
        <v>21.5</v>
      </c>
      <c r="S70" s="35">
        <f t="shared" si="87"/>
        <v>12.166666666666666</v>
      </c>
      <c r="T70" s="35">
        <f t="shared" si="88"/>
        <v>7.916666666666667</v>
      </c>
      <c r="U70" s="35">
        <f t="shared" si="89"/>
        <v>5.375</v>
      </c>
      <c r="V70" s="35">
        <f t="shared" si="90"/>
        <v>3.4375</v>
      </c>
      <c r="W70" s="35">
        <f t="shared" si="91"/>
        <v>2.4583333333333335</v>
      </c>
    </row>
    <row r="71" spans="1:23" x14ac:dyDescent="0.25">
      <c r="A71" s="35">
        <v>100</v>
      </c>
      <c r="B71" s="35">
        <v>13</v>
      </c>
      <c r="C71" s="35">
        <v>19</v>
      </c>
      <c r="D71" s="35">
        <v>24</v>
      </c>
      <c r="E71" s="35">
        <v>37</v>
      </c>
      <c r="F71" s="35">
        <v>49</v>
      </c>
      <c r="G71" s="35">
        <v>82</v>
      </c>
      <c r="H71" s="35">
        <v>107</v>
      </c>
      <c r="I71" s="35">
        <v>145</v>
      </c>
      <c r="J71" s="35">
        <v>184</v>
      </c>
      <c r="K71" s="35">
        <v>198</v>
      </c>
      <c r="L71" s="35"/>
      <c r="M71" s="35">
        <v>100</v>
      </c>
      <c r="N71" s="35">
        <f t="shared" si="82"/>
        <v>78</v>
      </c>
      <c r="O71" s="35">
        <f t="shared" si="83"/>
        <v>57</v>
      </c>
      <c r="P71" s="35">
        <f t="shared" si="84"/>
        <v>48</v>
      </c>
      <c r="Q71" s="35">
        <f t="shared" si="85"/>
        <v>37</v>
      </c>
      <c r="R71" s="35">
        <f t="shared" si="86"/>
        <v>24.5</v>
      </c>
      <c r="S71" s="35">
        <f t="shared" si="87"/>
        <v>13.666666666666666</v>
      </c>
      <c r="T71" s="35">
        <f t="shared" si="88"/>
        <v>8.9166666666666661</v>
      </c>
      <c r="U71" s="35">
        <f t="shared" si="89"/>
        <v>6.041666666666667</v>
      </c>
      <c r="V71" s="35">
        <f t="shared" si="90"/>
        <v>3.8333333333333335</v>
      </c>
      <c r="W71" s="35">
        <f t="shared" si="91"/>
        <v>2.75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Runoff Calculator</vt:lpstr>
      <vt:lpstr>Rainfall Data</vt:lpstr>
      <vt:lpstr>'Runoff Calculator'!Print_Area</vt:lpstr>
      <vt:lpstr>TimaruCurrent</vt:lpstr>
      <vt:lpstr>TimaruFuture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Winder</dc:creator>
  <cp:lastModifiedBy>Joy Wang</cp:lastModifiedBy>
  <cp:lastPrinted>2021-11-23T22:58:47Z</cp:lastPrinted>
  <dcterms:created xsi:type="dcterms:W3CDTF">2019-09-25T21:53:11Z</dcterms:created>
  <dcterms:modified xsi:type="dcterms:W3CDTF">2022-04-26T04:39:43Z</dcterms:modified>
</cp:coreProperties>
</file>